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138af2fe02daba19/Desktop/CV ^0 Jobs/Professional Portfolio/"/>
    </mc:Choice>
  </mc:AlternateContent>
  <xr:revisionPtr revIDLastSave="312" documentId="13_ncr:1_{6DAB355E-7B52-4E60-8A13-78F40C73D5D9}" xr6:coauthVersionLast="47" xr6:coauthVersionMax="47" xr10:uidLastSave="{B985A1EA-3F2E-4C02-80B6-B8611E16ACE1}"/>
  <bookViews>
    <workbookView xWindow="-108" yWindow="-108" windowWidth="23256" windowHeight="12456" xr2:uid="{00000000-000D-0000-FFFF-FFFF00000000}"/>
  </bookViews>
  <sheets>
    <sheet name="Cover" sheetId="25" r:id="rId1"/>
    <sheet name="Inputs" sheetId="11" r:id="rId2"/>
    <sheet name="Model" sheetId="13" r:id="rId3"/>
    <sheet name="Outputs" sheetId="19" r:id="rId4"/>
    <sheet name="DCF Inputs" sheetId="22" r:id="rId5"/>
    <sheet name="DCF Model" sheetId="23" r:id="rId6"/>
    <sheet name="DCF Outputs" sheetId="24" r:id="rId7"/>
    <sheet name="DCF Comps " sheetId="26" r:id="rId8"/>
  </sheets>
  <definedNames>
    <definedName name="_xlnm.Print_Area" localSheetId="2">Model!$A$33:$H$56</definedName>
  </definedNames>
  <calcPr calcId="181029" iterate="1"/>
</workbook>
</file>

<file path=xl/calcChain.xml><?xml version="1.0" encoding="utf-8"?>
<calcChain xmlns="http://schemas.openxmlformats.org/spreadsheetml/2006/main">
  <c r="C18" i="26" l="1"/>
  <c r="C17" i="26"/>
  <c r="F11" i="24"/>
  <c r="C20" i="24"/>
  <c r="P51" i="23"/>
  <c r="L85" i="23"/>
  <c r="H69" i="23"/>
  <c r="I69" i="23" s="1"/>
  <c r="H62" i="23"/>
  <c r="I57" i="23"/>
  <c r="H57" i="23"/>
  <c r="L13" i="23"/>
  <c r="P5" i="23"/>
  <c r="E52" i="22"/>
  <c r="H10" i="23" s="1"/>
  <c r="J35" i="22"/>
  <c r="J39" i="22"/>
  <c r="E39" i="22"/>
  <c r="E37" i="22"/>
  <c r="E30" i="22"/>
  <c r="J7" i="22"/>
  <c r="H7" i="22"/>
  <c r="G7" i="22"/>
  <c r="F16" i="22"/>
  <c r="E24" i="22"/>
  <c r="E23" i="22"/>
  <c r="E22" i="22"/>
  <c r="F17" i="22"/>
  <c r="H16" i="22"/>
  <c r="H158" i="13"/>
  <c r="E158" i="13"/>
  <c r="H108" i="13"/>
  <c r="H86" i="13"/>
  <c r="H88" i="13"/>
  <c r="E63" i="13"/>
  <c r="F63" i="13"/>
  <c r="L69" i="13"/>
  <c r="L67" i="13"/>
  <c r="F55" i="13"/>
  <c r="G47" i="13"/>
  <c r="E37" i="13"/>
  <c r="F37" i="13"/>
  <c r="G37" i="13" s="1"/>
  <c r="G41" i="13" s="1"/>
  <c r="L33" i="13" s="1"/>
  <c r="E11" i="13"/>
  <c r="D15" i="13"/>
  <c r="G69" i="11"/>
  <c r="I116" i="11"/>
  <c r="F24" i="11"/>
  <c r="E12" i="11"/>
  <c r="D7" i="13" s="1"/>
  <c r="D12" i="11"/>
  <c r="K7" i="26"/>
  <c r="I7" i="26"/>
  <c r="J28" i="22"/>
  <c r="J29" i="22"/>
  <c r="J30" i="22" s="1"/>
  <c r="G108" i="13"/>
  <c r="I107" i="13"/>
  <c r="E86" i="13"/>
  <c r="I112" i="11"/>
  <c r="H15" i="26"/>
  <c r="E15" i="26"/>
  <c r="F15" i="26"/>
  <c r="G15" i="26"/>
  <c r="E16" i="26"/>
  <c r="F16" i="26"/>
  <c r="G16" i="26"/>
  <c r="H16" i="26"/>
  <c r="E17" i="26"/>
  <c r="F17" i="26"/>
  <c r="G17" i="26"/>
  <c r="H17" i="26"/>
  <c r="E18" i="26"/>
  <c r="F18" i="26"/>
  <c r="G18" i="26"/>
  <c r="H18" i="26"/>
  <c r="D15" i="26"/>
  <c r="D16" i="26"/>
  <c r="D17" i="26"/>
  <c r="D18" i="26"/>
  <c r="C16" i="26"/>
  <c r="C15" i="26"/>
  <c r="L11" i="26"/>
  <c r="K11" i="26"/>
  <c r="J11" i="26"/>
  <c r="I11" i="26"/>
  <c r="L7" i="26"/>
  <c r="J7" i="26"/>
  <c r="J15" i="26" s="1"/>
  <c r="L10" i="26"/>
  <c r="K10" i="26"/>
  <c r="J10" i="26"/>
  <c r="I10" i="26"/>
  <c r="L9" i="26"/>
  <c r="K9" i="26"/>
  <c r="J9" i="26"/>
  <c r="I9" i="26"/>
  <c r="L8" i="26"/>
  <c r="K8" i="26"/>
  <c r="J8" i="26"/>
  <c r="I8" i="26"/>
  <c r="L16" i="26"/>
  <c r="J36" i="22"/>
  <c r="J24" i="22"/>
  <c r="J22" i="22"/>
  <c r="E36" i="22"/>
  <c r="H96" i="13"/>
  <c r="E137" i="11"/>
  <c r="F94" i="13"/>
  <c r="G92" i="13"/>
  <c r="D87" i="13"/>
  <c r="E87" i="13"/>
  <c r="F87" i="13"/>
  <c r="G87" i="13"/>
  <c r="D88" i="13"/>
  <c r="E88" i="13"/>
  <c r="F88" i="13"/>
  <c r="G88" i="13"/>
  <c r="D89" i="13"/>
  <c r="E89" i="13"/>
  <c r="F89" i="13"/>
  <c r="G89" i="13"/>
  <c r="D90" i="13"/>
  <c r="E90" i="13"/>
  <c r="F90" i="13"/>
  <c r="G90" i="13"/>
  <c r="D91" i="13"/>
  <c r="E91" i="13"/>
  <c r="F91" i="13"/>
  <c r="G91" i="13"/>
  <c r="D92" i="13"/>
  <c r="E92" i="13"/>
  <c r="F92" i="13"/>
  <c r="D93" i="13"/>
  <c r="E93" i="13"/>
  <c r="F93" i="13"/>
  <c r="G93" i="13"/>
  <c r="D94" i="13"/>
  <c r="E94" i="13"/>
  <c r="G94" i="13"/>
  <c r="D95" i="13"/>
  <c r="E95" i="13"/>
  <c r="F95" i="13"/>
  <c r="G95" i="13"/>
  <c r="D96" i="13"/>
  <c r="E96" i="13"/>
  <c r="F96" i="13"/>
  <c r="G96" i="13"/>
  <c r="D97" i="13"/>
  <c r="E97" i="13"/>
  <c r="F97" i="13"/>
  <c r="G97" i="13"/>
  <c r="D98" i="13"/>
  <c r="E98" i="13"/>
  <c r="F98" i="13"/>
  <c r="G98" i="13"/>
  <c r="D99" i="13"/>
  <c r="E99" i="13"/>
  <c r="F99" i="13"/>
  <c r="G99" i="13"/>
  <c r="F86" i="13"/>
  <c r="G86" i="13"/>
  <c r="D86" i="13"/>
  <c r="L84" i="13"/>
  <c r="E7" i="13"/>
  <c r="F12" i="11"/>
  <c r="D8" i="13" s="1"/>
  <c r="N7" i="25"/>
  <c r="S117" i="19"/>
  <c r="P54" i="23"/>
  <c r="O60" i="24"/>
  <c r="F60" i="24"/>
  <c r="O50" i="24"/>
  <c r="F50" i="24"/>
  <c r="F40" i="24"/>
  <c r="P48" i="23" s="1"/>
  <c r="F44" i="24"/>
  <c r="F43" i="24"/>
  <c r="F42" i="24"/>
  <c r="F7" i="24"/>
  <c r="G55" i="11"/>
  <c r="O27" i="24"/>
  <c r="F27" i="24"/>
  <c r="H32" i="24"/>
  <c r="G32" i="24"/>
  <c r="F32" i="24"/>
  <c r="E32" i="24"/>
  <c r="D32" i="24"/>
  <c r="H31" i="24"/>
  <c r="G31" i="24"/>
  <c r="F31" i="24"/>
  <c r="E31" i="24"/>
  <c r="D31" i="24"/>
  <c r="H30" i="24"/>
  <c r="G30" i="24"/>
  <c r="F30" i="24"/>
  <c r="E30" i="24"/>
  <c r="D30" i="24"/>
  <c r="H29" i="24"/>
  <c r="G29" i="24"/>
  <c r="F29" i="24"/>
  <c r="E29" i="24"/>
  <c r="D29" i="24"/>
  <c r="H28" i="24"/>
  <c r="G28" i="24"/>
  <c r="F28" i="24"/>
  <c r="E28" i="24"/>
  <c r="D28" i="24"/>
  <c r="O17" i="24"/>
  <c r="F17" i="24"/>
  <c r="G17" i="24" s="1"/>
  <c r="H17" i="24" s="1"/>
  <c r="G22" i="23"/>
  <c r="F9" i="24"/>
  <c r="F10" i="24"/>
  <c r="E85" i="23"/>
  <c r="G15" i="23"/>
  <c r="G59" i="23"/>
  <c r="G73" i="23"/>
  <c r="G66" i="23"/>
  <c r="M62" i="23"/>
  <c r="L62" i="23"/>
  <c r="L65" i="23" s="1"/>
  <c r="K62" i="23"/>
  <c r="K65" i="23" s="1"/>
  <c r="J62" i="23"/>
  <c r="J65" i="23" s="1"/>
  <c r="I62" i="23"/>
  <c r="I65" i="23" s="1"/>
  <c r="M54" i="23"/>
  <c r="L41" i="23"/>
  <c r="E41" i="23"/>
  <c r="H25" i="23"/>
  <c r="I25" i="23" s="1"/>
  <c r="J25" i="23" s="1"/>
  <c r="K25" i="23" s="1"/>
  <c r="L25" i="23" s="1"/>
  <c r="I18" i="23"/>
  <c r="J18" i="23"/>
  <c r="J21" i="23" s="1"/>
  <c r="K18" i="23"/>
  <c r="K21" i="23" s="1"/>
  <c r="L18" i="23"/>
  <c r="H18" i="23"/>
  <c r="H21" i="23" s="1"/>
  <c r="G29" i="23"/>
  <c r="F52" i="22"/>
  <c r="I10" i="23" s="1"/>
  <c r="G52" i="22"/>
  <c r="J10" i="23" s="1"/>
  <c r="H52" i="22"/>
  <c r="K10" i="23" s="1"/>
  <c r="I52" i="22"/>
  <c r="L10" i="23" s="1"/>
  <c r="J52" i="22"/>
  <c r="M10" i="23" s="1"/>
  <c r="M53" i="23" s="1"/>
  <c r="M57" i="23" s="1"/>
  <c r="M64" i="23" s="1"/>
  <c r="F45" i="22"/>
  <c r="G45" i="22" s="1"/>
  <c r="H45" i="22" s="1"/>
  <c r="I45" i="22" s="1"/>
  <c r="I17" i="22"/>
  <c r="I16" i="22"/>
  <c r="H8" i="22"/>
  <c r="H9" i="22"/>
  <c r="H10" i="22"/>
  <c r="H11" i="22"/>
  <c r="H12" i="22"/>
  <c r="H13" i="22"/>
  <c r="H14" i="22"/>
  <c r="G10" i="22"/>
  <c r="J10" i="22" s="1"/>
  <c r="G11" i="22"/>
  <c r="J11" i="22" s="1"/>
  <c r="G12" i="22"/>
  <c r="J12" i="22" s="1"/>
  <c r="G13" i="22"/>
  <c r="J13" i="22" s="1"/>
  <c r="G14" i="22"/>
  <c r="J14" i="22" s="1"/>
  <c r="D35" i="13"/>
  <c r="G8" i="22"/>
  <c r="J8" i="22" s="1"/>
  <c r="G9" i="22"/>
  <c r="J9" i="22" s="1"/>
  <c r="K8" i="11"/>
  <c r="J8" i="11"/>
  <c r="G110" i="13"/>
  <c r="G109" i="13"/>
  <c r="F158" i="13"/>
  <c r="D158" i="13"/>
  <c r="C158" i="13"/>
  <c r="H157" i="13"/>
  <c r="G157" i="13"/>
  <c r="H156" i="13"/>
  <c r="G156" i="13"/>
  <c r="H155" i="13"/>
  <c r="G155" i="13"/>
  <c r="H154" i="13"/>
  <c r="G154" i="13"/>
  <c r="H153" i="13"/>
  <c r="G153" i="13"/>
  <c r="H152" i="13"/>
  <c r="G152" i="13"/>
  <c r="H151" i="13"/>
  <c r="G151" i="13"/>
  <c r="H150" i="13"/>
  <c r="G150" i="13"/>
  <c r="H149" i="13"/>
  <c r="G149" i="13"/>
  <c r="H148" i="13"/>
  <c r="G148" i="13"/>
  <c r="H147" i="13"/>
  <c r="G147" i="13"/>
  <c r="H146" i="13"/>
  <c r="G146" i="13"/>
  <c r="H145" i="13"/>
  <c r="G145" i="13"/>
  <c r="H144" i="13"/>
  <c r="G144" i="13"/>
  <c r="H143" i="13"/>
  <c r="G143" i="13"/>
  <c r="H142" i="13"/>
  <c r="G142" i="13"/>
  <c r="H141" i="13"/>
  <c r="G141" i="13"/>
  <c r="H140" i="13"/>
  <c r="G140" i="13"/>
  <c r="H139" i="13"/>
  <c r="G139" i="13"/>
  <c r="H138" i="13"/>
  <c r="G138" i="13"/>
  <c r="H137" i="13"/>
  <c r="G137" i="13"/>
  <c r="H136" i="13"/>
  <c r="G136" i="13"/>
  <c r="H135" i="13"/>
  <c r="G135" i="13"/>
  <c r="H134" i="13"/>
  <c r="G134" i="13"/>
  <c r="H133" i="13"/>
  <c r="G133" i="13"/>
  <c r="H132" i="13"/>
  <c r="G132" i="13"/>
  <c r="H131" i="13"/>
  <c r="G131" i="13"/>
  <c r="H130" i="13"/>
  <c r="G130" i="13"/>
  <c r="H129" i="13"/>
  <c r="G129" i="13"/>
  <c r="H128" i="13"/>
  <c r="G128" i="13"/>
  <c r="H127" i="13"/>
  <c r="G127" i="13"/>
  <c r="H126" i="13"/>
  <c r="G126" i="13"/>
  <c r="H125" i="13"/>
  <c r="G125" i="13"/>
  <c r="H124" i="13"/>
  <c r="G124" i="13"/>
  <c r="H123" i="13"/>
  <c r="G123" i="13"/>
  <c r="H122" i="13"/>
  <c r="G122" i="13"/>
  <c r="H121" i="13"/>
  <c r="G121" i="13"/>
  <c r="H120" i="13"/>
  <c r="G120" i="13"/>
  <c r="H119" i="13"/>
  <c r="G119" i="13"/>
  <c r="H118" i="13"/>
  <c r="G118" i="13"/>
  <c r="H117" i="13"/>
  <c r="G117" i="13"/>
  <c r="H116" i="13"/>
  <c r="G116" i="13"/>
  <c r="H115" i="13"/>
  <c r="G115" i="13"/>
  <c r="H114" i="13"/>
  <c r="G114" i="13"/>
  <c r="H113" i="13"/>
  <c r="G113" i="13"/>
  <c r="H112" i="13"/>
  <c r="G112" i="13"/>
  <c r="H111" i="13"/>
  <c r="G111" i="13"/>
  <c r="H110" i="13"/>
  <c r="H109" i="13"/>
  <c r="J107" i="13"/>
  <c r="F107" i="13"/>
  <c r="E107" i="13"/>
  <c r="I113" i="11"/>
  <c r="I114" i="11"/>
  <c r="I115" i="11"/>
  <c r="I117" i="11"/>
  <c r="I118" i="11"/>
  <c r="I119" i="11"/>
  <c r="I120" i="11"/>
  <c r="I121" i="11"/>
  <c r="I122" i="11"/>
  <c r="I123" i="11"/>
  <c r="I124" i="11"/>
  <c r="I125" i="11"/>
  <c r="D24" i="11"/>
  <c r="S104" i="19"/>
  <c r="S105" i="19"/>
  <c r="S106" i="19"/>
  <c r="S107" i="19"/>
  <c r="S108" i="19"/>
  <c r="S113" i="19"/>
  <c r="D45" i="11"/>
  <c r="D39" i="11"/>
  <c r="D40" i="11"/>
  <c r="D41" i="11"/>
  <c r="D42" i="11"/>
  <c r="D43" i="11"/>
  <c r="D44" i="11"/>
  <c r="D46" i="11"/>
  <c r="D38" i="11"/>
  <c r="D28" i="11"/>
  <c r="S116" i="19"/>
  <c r="S115" i="19"/>
  <c r="S114" i="19"/>
  <c r="F106" i="19"/>
  <c r="D53" i="13"/>
  <c r="D52" i="13"/>
  <c r="D51" i="13"/>
  <c r="D50" i="13"/>
  <c r="D49" i="13"/>
  <c r="D48" i="13"/>
  <c r="D47" i="13"/>
  <c r="D46" i="13"/>
  <c r="D40" i="13"/>
  <c r="D39" i="13"/>
  <c r="D38" i="13"/>
  <c r="D37" i="13"/>
  <c r="D36" i="13"/>
  <c r="G72" i="11"/>
  <c r="G71" i="11"/>
  <c r="G70" i="11"/>
  <c r="G68" i="11"/>
  <c r="G67" i="11"/>
  <c r="G66" i="11"/>
  <c r="G65" i="11"/>
  <c r="G64" i="11"/>
  <c r="G60" i="11"/>
  <c r="G59" i="11"/>
  <c r="G58" i="11"/>
  <c r="G57" i="11"/>
  <c r="G56" i="11"/>
  <c r="M46" i="11"/>
  <c r="M45" i="11"/>
  <c r="M44" i="11"/>
  <c r="M43" i="11"/>
  <c r="M42" i="11"/>
  <c r="M41" i="11"/>
  <c r="M40" i="11"/>
  <c r="M39" i="11"/>
  <c r="M38" i="11"/>
  <c r="M33" i="11"/>
  <c r="D33" i="11"/>
  <c r="M32" i="11"/>
  <c r="D32" i="11"/>
  <c r="M31" i="11"/>
  <c r="D31" i="11"/>
  <c r="M30" i="11"/>
  <c r="D30" i="11"/>
  <c r="M29" i="11"/>
  <c r="D29" i="11"/>
  <c r="M28" i="11"/>
  <c r="M23" i="11"/>
  <c r="M22" i="11"/>
  <c r="M21" i="11"/>
  <c r="M20" i="11"/>
  <c r="M19" i="11"/>
  <c r="M18" i="11"/>
  <c r="M17" i="11"/>
  <c r="M16" i="11"/>
  <c r="M15" i="11"/>
  <c r="L12" i="11"/>
  <c r="D14" i="13" s="1"/>
  <c r="I12" i="11"/>
  <c r="D11" i="13" s="1"/>
  <c r="H12" i="11"/>
  <c r="D10" i="13" s="1"/>
  <c r="G12" i="11"/>
  <c r="D9" i="13" s="1"/>
  <c r="M11" i="11"/>
  <c r="K10" i="11"/>
  <c r="M10" i="11" s="1"/>
  <c r="K9" i="11"/>
  <c r="J9" i="11"/>
  <c r="J7" i="11"/>
  <c r="M6" i="11"/>
  <c r="G63" i="13" l="1"/>
  <c r="C36" i="22"/>
  <c r="O22" i="24"/>
  <c r="P21" i="24"/>
  <c r="P31" i="24" s="1"/>
  <c r="N21" i="24"/>
  <c r="N31" i="24" s="1"/>
  <c r="Q20" i="24"/>
  <c r="Q30" i="24" s="1"/>
  <c r="Q22" i="24"/>
  <c r="N22" i="24"/>
  <c r="M22" i="24"/>
  <c r="M32" i="24" s="1"/>
  <c r="Q21" i="24"/>
  <c r="Q31" i="24" s="1"/>
  <c r="O21" i="24"/>
  <c r="M21" i="24"/>
  <c r="P22" i="24"/>
  <c r="P20" i="24"/>
  <c r="P30" i="24" s="1"/>
  <c r="O20" i="24"/>
  <c r="N20" i="24"/>
  <c r="M20" i="24"/>
  <c r="Q19" i="24"/>
  <c r="P19" i="24"/>
  <c r="O19" i="24"/>
  <c r="O29" i="24" s="1"/>
  <c r="N19" i="24"/>
  <c r="M19" i="24"/>
  <c r="M29" i="24" s="1"/>
  <c r="Q18" i="24"/>
  <c r="Q28" i="24" s="1"/>
  <c r="P18" i="24"/>
  <c r="O18" i="24"/>
  <c r="O28" i="24" s="1"/>
  <c r="N18" i="24"/>
  <c r="M18" i="24"/>
  <c r="M28" i="24" s="1"/>
  <c r="N32" i="24"/>
  <c r="Q32" i="24"/>
  <c r="P32" i="24"/>
  <c r="O32" i="24"/>
  <c r="O31" i="24"/>
  <c r="M31" i="24"/>
  <c r="Q29" i="24"/>
  <c r="N29" i="24"/>
  <c r="P28" i="24"/>
  <c r="N28" i="24"/>
  <c r="O30" i="24"/>
  <c r="N30" i="24"/>
  <c r="M30" i="24"/>
  <c r="P29" i="24"/>
  <c r="C37" i="22"/>
  <c r="I18" i="26"/>
  <c r="I15" i="26"/>
  <c r="I17" i="26"/>
  <c r="I16" i="26"/>
  <c r="L18" i="26"/>
  <c r="L17" i="26"/>
  <c r="L15" i="26"/>
  <c r="K16" i="26"/>
  <c r="K18" i="26"/>
  <c r="K17" i="26"/>
  <c r="K15" i="26"/>
  <c r="J18" i="26"/>
  <c r="J16" i="26"/>
  <c r="J17" i="26"/>
  <c r="I108" i="13"/>
  <c r="I109" i="13" s="1"/>
  <c r="G158" i="13"/>
  <c r="F35" i="13"/>
  <c r="F49" i="13"/>
  <c r="F48" i="13"/>
  <c r="G48" i="13" s="1"/>
  <c r="D71" i="13" s="1"/>
  <c r="F47" i="13"/>
  <c r="D70" i="13" s="1"/>
  <c r="F46" i="13"/>
  <c r="G46" i="13" s="1"/>
  <c r="D69" i="13" s="1"/>
  <c r="G35" i="13"/>
  <c r="D63" i="13" s="1"/>
  <c r="H93" i="13"/>
  <c r="H92" i="13"/>
  <c r="H95" i="13"/>
  <c r="H94" i="13"/>
  <c r="F7" i="13"/>
  <c r="F65" i="24"/>
  <c r="O55" i="24" s="1"/>
  <c r="O65" i="24" s="1"/>
  <c r="H64" i="24"/>
  <c r="Q54" i="24" s="1"/>
  <c r="Q64" i="24" s="1"/>
  <c r="D64" i="24"/>
  <c r="M54" i="24" s="1"/>
  <c r="M64" i="24" s="1"/>
  <c r="F63" i="24"/>
  <c r="O53" i="24" s="1"/>
  <c r="O63" i="24" s="1"/>
  <c r="H62" i="24"/>
  <c r="Q52" i="24" s="1"/>
  <c r="Q62" i="24" s="1"/>
  <c r="D62" i="24"/>
  <c r="M52" i="24" s="1"/>
  <c r="M62" i="24" s="1"/>
  <c r="F61" i="24"/>
  <c r="O51" i="24" s="1"/>
  <c r="O61" i="24" s="1"/>
  <c r="G65" i="24"/>
  <c r="P55" i="24" s="1"/>
  <c r="P65" i="24" s="1"/>
  <c r="D65" i="24"/>
  <c r="M55" i="24" s="1"/>
  <c r="M65" i="24" s="1"/>
  <c r="F64" i="24"/>
  <c r="O54" i="24" s="1"/>
  <c r="O64" i="24" s="1"/>
  <c r="H63" i="24"/>
  <c r="Q53" i="24" s="1"/>
  <c r="Q63" i="24" s="1"/>
  <c r="D63" i="24"/>
  <c r="M53" i="24" s="1"/>
  <c r="M63" i="24" s="1"/>
  <c r="F62" i="24"/>
  <c r="O52" i="24" s="1"/>
  <c r="O62" i="24" s="1"/>
  <c r="H61" i="24"/>
  <c r="Q51" i="24" s="1"/>
  <c r="Q61" i="24" s="1"/>
  <c r="E61" i="24"/>
  <c r="N51" i="24" s="1"/>
  <c r="N61" i="24" s="1"/>
  <c r="H65" i="24"/>
  <c r="Q55" i="24" s="1"/>
  <c r="Q65" i="24" s="1"/>
  <c r="E65" i="24"/>
  <c r="N55" i="24" s="1"/>
  <c r="N65" i="24" s="1"/>
  <c r="G64" i="24"/>
  <c r="P54" i="24" s="1"/>
  <c r="P64" i="24" s="1"/>
  <c r="E64" i="24"/>
  <c r="N54" i="24" s="1"/>
  <c r="N64" i="24" s="1"/>
  <c r="G63" i="24"/>
  <c r="P53" i="24" s="1"/>
  <c r="P63" i="24" s="1"/>
  <c r="E63" i="24"/>
  <c r="N53" i="24" s="1"/>
  <c r="N63" i="24" s="1"/>
  <c r="G62" i="24"/>
  <c r="P52" i="24" s="1"/>
  <c r="P62" i="24" s="1"/>
  <c r="E62" i="24"/>
  <c r="N52" i="24" s="1"/>
  <c r="N62" i="24" s="1"/>
  <c r="G61" i="24"/>
  <c r="P51" i="24" s="1"/>
  <c r="P61" i="24" s="1"/>
  <c r="D61" i="24"/>
  <c r="M51" i="24" s="1"/>
  <c r="M61" i="24" s="1"/>
  <c r="G50" i="24"/>
  <c r="H50" i="24" s="1"/>
  <c r="E50" i="24"/>
  <c r="D50" i="24" s="1"/>
  <c r="N60" i="24"/>
  <c r="M60" i="24" s="1"/>
  <c r="P60" i="24"/>
  <c r="Q60" i="24" s="1"/>
  <c r="G60" i="24"/>
  <c r="H60" i="24" s="1"/>
  <c r="E60" i="24"/>
  <c r="D60" i="24" s="1"/>
  <c r="N50" i="24"/>
  <c r="M50" i="24" s="1"/>
  <c r="P50" i="24"/>
  <c r="Q50" i="24" s="1"/>
  <c r="F53" i="13"/>
  <c r="F52" i="13"/>
  <c r="F51" i="13"/>
  <c r="F50" i="13"/>
  <c r="P27" i="24"/>
  <c r="Q27" i="24" s="1"/>
  <c r="N27" i="24"/>
  <c r="M27" i="24" s="1"/>
  <c r="E27" i="24"/>
  <c r="D27" i="24" s="1"/>
  <c r="G27" i="24"/>
  <c r="H27" i="24" s="1"/>
  <c r="P17" i="24"/>
  <c r="Q17" i="24" s="1"/>
  <c r="N17" i="24"/>
  <c r="M17" i="24" s="1"/>
  <c r="E17" i="24"/>
  <c r="D17" i="24" s="1"/>
  <c r="I13" i="23"/>
  <c r="I53" i="23"/>
  <c r="J13" i="23"/>
  <c r="J53" i="23"/>
  <c r="J57" i="23" s="1"/>
  <c r="K13" i="23"/>
  <c r="K53" i="23"/>
  <c r="K57" i="23" s="1"/>
  <c r="L20" i="23"/>
  <c r="L53" i="23"/>
  <c r="L57" i="23" s="1"/>
  <c r="L64" i="23" s="1"/>
  <c r="H13" i="23"/>
  <c r="H20" i="23" s="1"/>
  <c r="H22" i="23" s="1"/>
  <c r="H53" i="23"/>
  <c r="H65" i="23"/>
  <c r="J69" i="23"/>
  <c r="L59" i="23"/>
  <c r="I21" i="23"/>
  <c r="H15" i="23"/>
  <c r="G17" i="22"/>
  <c r="G16" i="22"/>
  <c r="H17" i="22"/>
  <c r="J108" i="13"/>
  <c r="J109" i="13" s="1"/>
  <c r="J110" i="13" s="1"/>
  <c r="J111" i="13" s="1"/>
  <c r="J112" i="13" s="1"/>
  <c r="J113" i="13" s="1"/>
  <c r="J114" i="13" s="1"/>
  <c r="J115" i="13" s="1"/>
  <c r="J116" i="13" s="1"/>
  <c r="J117" i="13" s="1"/>
  <c r="J118" i="13" s="1"/>
  <c r="J119" i="13" s="1"/>
  <c r="J120" i="13" s="1"/>
  <c r="J121" i="13" s="1"/>
  <c r="J122" i="13" s="1"/>
  <c r="J123" i="13" s="1"/>
  <c r="J124" i="13" s="1"/>
  <c r="J125" i="13" s="1"/>
  <c r="J126" i="13" s="1"/>
  <c r="J127" i="13" s="1"/>
  <c r="J128" i="13" s="1"/>
  <c r="J129" i="13" s="1"/>
  <c r="J130" i="13" s="1"/>
  <c r="J131" i="13" s="1"/>
  <c r="J132" i="13" s="1"/>
  <c r="J133" i="13" s="1"/>
  <c r="J134" i="13" s="1"/>
  <c r="J135" i="13" s="1"/>
  <c r="J136" i="13" s="1"/>
  <c r="J137" i="13" s="1"/>
  <c r="J138" i="13" s="1"/>
  <c r="J139" i="13" s="1"/>
  <c r="J140" i="13" s="1"/>
  <c r="J141" i="13" s="1"/>
  <c r="J142" i="13" s="1"/>
  <c r="J143" i="13" s="1"/>
  <c r="J144" i="13" s="1"/>
  <c r="J145" i="13" s="1"/>
  <c r="J146" i="13" s="1"/>
  <c r="J147" i="13" s="1"/>
  <c r="J148" i="13" s="1"/>
  <c r="J149" i="13" s="1"/>
  <c r="J150" i="13" s="1"/>
  <c r="J151" i="13" s="1"/>
  <c r="J152" i="13" s="1"/>
  <c r="J153" i="13" s="1"/>
  <c r="J154" i="13" s="1"/>
  <c r="J155" i="13" s="1"/>
  <c r="J156" i="13" s="1"/>
  <c r="J157" i="13" s="1"/>
  <c r="J158" i="13" s="1"/>
  <c r="I110" i="13"/>
  <c r="I111" i="13" s="1"/>
  <c r="I112" i="13" s="1"/>
  <c r="I113" i="13" s="1"/>
  <c r="I114" i="13" s="1"/>
  <c r="I115" i="13" s="1"/>
  <c r="I116" i="13" s="1"/>
  <c r="I117" i="13" s="1"/>
  <c r="I118" i="13" s="1"/>
  <c r="I119" i="13" s="1"/>
  <c r="I120" i="13" s="1"/>
  <c r="I121" i="13" s="1"/>
  <c r="I122" i="13" s="1"/>
  <c r="I123" i="13" s="1"/>
  <c r="I124" i="13" s="1"/>
  <c r="I125" i="13" s="1"/>
  <c r="I126" i="13" s="1"/>
  <c r="I127" i="13" s="1"/>
  <c r="I128" i="13" s="1"/>
  <c r="I129" i="13" s="1"/>
  <c r="I130" i="13" s="1"/>
  <c r="I131" i="13" s="1"/>
  <c r="I132" i="13" s="1"/>
  <c r="I133" i="13" s="1"/>
  <c r="I134" i="13" s="1"/>
  <c r="I135" i="13" s="1"/>
  <c r="I136" i="13" s="1"/>
  <c r="I137" i="13" s="1"/>
  <c r="I138" i="13" s="1"/>
  <c r="I139" i="13" s="1"/>
  <c r="I140" i="13" s="1"/>
  <c r="I141" i="13" s="1"/>
  <c r="I142" i="13" s="1"/>
  <c r="I143" i="13" s="1"/>
  <c r="I144" i="13" s="1"/>
  <c r="I145" i="13" s="1"/>
  <c r="I146" i="13" s="1"/>
  <c r="I147" i="13" s="1"/>
  <c r="I148" i="13" s="1"/>
  <c r="I149" i="13" s="1"/>
  <c r="I150" i="13" s="1"/>
  <c r="I151" i="13" s="1"/>
  <c r="I152" i="13" s="1"/>
  <c r="I153" i="13" s="1"/>
  <c r="I154" i="13" s="1"/>
  <c r="I155" i="13" s="1"/>
  <c r="I156" i="13" s="1"/>
  <c r="I157" i="13" s="1"/>
  <c r="I158" i="13" s="1"/>
  <c r="M8" i="11"/>
  <c r="I126" i="11"/>
  <c r="D47" i="11"/>
  <c r="M9" i="11"/>
  <c r="K12" i="11"/>
  <c r="D13" i="13" s="1"/>
  <c r="D41" i="13"/>
  <c r="E35" i="13" s="1"/>
  <c r="F54" i="13"/>
  <c r="G49" i="13"/>
  <c r="D72" i="13" s="1"/>
  <c r="F40" i="13"/>
  <c r="F39" i="13"/>
  <c r="F38" i="13"/>
  <c r="F36" i="13"/>
  <c r="D34" i="11"/>
  <c r="E34" i="11"/>
  <c r="L34" i="11"/>
  <c r="D26" i="13" s="1"/>
  <c r="G34" i="11"/>
  <c r="D21" i="13" s="1"/>
  <c r="K34" i="11"/>
  <c r="D25" i="13" s="1"/>
  <c r="J34" i="11"/>
  <c r="D24" i="13" s="1"/>
  <c r="H34" i="11"/>
  <c r="D22" i="13" s="1"/>
  <c r="F34" i="11"/>
  <c r="D20" i="13" s="1"/>
  <c r="I34" i="11"/>
  <c r="D23" i="13" s="1"/>
  <c r="M7" i="11"/>
  <c r="J12" i="11"/>
  <c r="D36" i="22" l="1"/>
  <c r="D35" i="22"/>
  <c r="G53" i="13"/>
  <c r="D76" i="13" s="1"/>
  <c r="H99" i="13"/>
  <c r="G52" i="13"/>
  <c r="D75" i="13" s="1"/>
  <c r="H98" i="13"/>
  <c r="G51" i="13"/>
  <c r="D74" i="13" s="1"/>
  <c r="H97" i="13"/>
  <c r="G50" i="13"/>
  <c r="D73" i="13" s="1"/>
  <c r="G40" i="13"/>
  <c r="D68" i="13" s="1"/>
  <c r="H91" i="13"/>
  <c r="G39" i="13"/>
  <c r="D67" i="13" s="1"/>
  <c r="H90" i="13"/>
  <c r="G38" i="13"/>
  <c r="D66" i="13" s="1"/>
  <c r="H89" i="13"/>
  <c r="D65" i="13"/>
  <c r="G36" i="13"/>
  <c r="D64" i="13" s="1"/>
  <c r="H87" i="13"/>
  <c r="I20" i="23"/>
  <c r="I22" i="23" s="1"/>
  <c r="I15" i="23"/>
  <c r="I64" i="23"/>
  <c r="I59" i="23"/>
  <c r="J20" i="23"/>
  <c r="J22" i="23" s="1"/>
  <c r="J15" i="23"/>
  <c r="J64" i="23"/>
  <c r="J59" i="23"/>
  <c r="K20" i="23"/>
  <c r="K22" i="23" s="1"/>
  <c r="K15" i="23"/>
  <c r="K64" i="23"/>
  <c r="K59" i="23"/>
  <c r="H59" i="23"/>
  <c r="H64" i="23"/>
  <c r="H66" i="23" s="1"/>
  <c r="I66" i="23"/>
  <c r="J66" i="23"/>
  <c r="K66" i="23"/>
  <c r="L66" i="23"/>
  <c r="K69" i="23"/>
  <c r="J16" i="22"/>
  <c r="J17" i="22"/>
  <c r="F76" i="13"/>
  <c r="E76" i="13"/>
  <c r="F75" i="13"/>
  <c r="E75" i="13"/>
  <c r="E73" i="13"/>
  <c r="F73" i="13"/>
  <c r="F72" i="13"/>
  <c r="E72" i="13"/>
  <c r="F71" i="13"/>
  <c r="E71" i="13"/>
  <c r="E70" i="13"/>
  <c r="F70" i="13"/>
  <c r="F69" i="13"/>
  <c r="E69" i="13"/>
  <c r="E68" i="13"/>
  <c r="F68" i="13"/>
  <c r="F67" i="13"/>
  <c r="E67" i="13"/>
  <c r="E66" i="13"/>
  <c r="F66" i="13"/>
  <c r="F64" i="13"/>
  <c r="E64" i="13"/>
  <c r="F41" i="13"/>
  <c r="M34" i="11"/>
  <c r="D19" i="13"/>
  <c r="E40" i="13"/>
  <c r="E39" i="13"/>
  <c r="E38" i="13"/>
  <c r="E36" i="13"/>
  <c r="D12" i="13"/>
  <c r="M12" i="11"/>
  <c r="F65" i="13" l="1"/>
  <c r="E65" i="13"/>
  <c r="E74" i="13"/>
  <c r="F74" i="13"/>
  <c r="D39" i="22"/>
  <c r="D37" i="22"/>
  <c r="F8" i="24"/>
  <c r="P8" i="23" s="1"/>
  <c r="L14" i="23" s="1"/>
  <c r="L53" i="24"/>
  <c r="C63" i="24"/>
  <c r="L20" i="24"/>
  <c r="C53" i="24"/>
  <c r="F41" i="24"/>
  <c r="K72" i="23" s="1"/>
  <c r="L63" i="24"/>
  <c r="L30" i="24"/>
  <c r="C30" i="24"/>
  <c r="L69" i="23"/>
  <c r="D27" i="13"/>
  <c r="G69" i="13"/>
  <c r="H69" i="13" s="1"/>
  <c r="I69" i="13" s="1"/>
  <c r="E41" i="13"/>
  <c r="L21" i="23" l="1"/>
  <c r="L15" i="23"/>
  <c r="L71" i="23"/>
  <c r="I27" i="23"/>
  <c r="J27" i="23"/>
  <c r="H27" i="23"/>
  <c r="L34" i="23" s="1"/>
  <c r="I28" i="23"/>
  <c r="H28" i="23"/>
  <c r="J28" i="23"/>
  <c r="K28" i="23"/>
  <c r="K27" i="23"/>
  <c r="K29" i="23" s="1"/>
  <c r="L27" i="23"/>
  <c r="C21" i="24"/>
  <c r="C22" i="24" s="1"/>
  <c r="C19" i="24"/>
  <c r="C18" i="24" s="1"/>
  <c r="L54" i="24"/>
  <c r="L55" i="24" s="1"/>
  <c r="L52" i="24"/>
  <c r="L51" i="24" s="1"/>
  <c r="C62" i="24"/>
  <c r="C61" i="24" s="1"/>
  <c r="C64" i="24"/>
  <c r="C65" i="24" s="1"/>
  <c r="L21" i="24"/>
  <c r="L22" i="24" s="1"/>
  <c r="L19" i="24"/>
  <c r="L18" i="24" s="1"/>
  <c r="C54" i="24"/>
  <c r="C55" i="24" s="1"/>
  <c r="C52" i="24"/>
  <c r="C51" i="24" s="1"/>
  <c r="H72" i="23"/>
  <c r="M58" i="23"/>
  <c r="I71" i="23"/>
  <c r="K71" i="23"/>
  <c r="K73" i="23" s="1"/>
  <c r="J72" i="23"/>
  <c r="J71" i="23"/>
  <c r="J73" i="23" s="1"/>
  <c r="H71" i="23"/>
  <c r="I72" i="23"/>
  <c r="L62" i="24"/>
  <c r="L61" i="24" s="1"/>
  <c r="L64" i="24"/>
  <c r="L65" i="24" s="1"/>
  <c r="L31" i="24"/>
  <c r="L32" i="24" s="1"/>
  <c r="L29" i="24"/>
  <c r="L28" i="24" s="1"/>
  <c r="C31" i="24"/>
  <c r="C32" i="24" s="1"/>
  <c r="C29" i="24"/>
  <c r="C28" i="24" s="1"/>
  <c r="L72" i="23"/>
  <c r="M69" i="23"/>
  <c r="G67" i="13"/>
  <c r="H67" i="13" s="1"/>
  <c r="I67" i="13" s="1"/>
  <c r="G70" i="13"/>
  <c r="H70" i="13" s="1"/>
  <c r="I70" i="13" s="1"/>
  <c r="G76" i="13"/>
  <c r="H76" i="13" s="1"/>
  <c r="I76" i="13" s="1"/>
  <c r="G72" i="13"/>
  <c r="H72" i="13" s="1"/>
  <c r="I72" i="13" s="1"/>
  <c r="G75" i="13"/>
  <c r="H75" i="13" s="1"/>
  <c r="I75" i="13" s="1"/>
  <c r="H63" i="13"/>
  <c r="I63" i="13" s="1"/>
  <c r="G74" i="13"/>
  <c r="H74" i="13" s="1"/>
  <c r="I74" i="13" s="1"/>
  <c r="G73" i="13"/>
  <c r="H73" i="13" s="1"/>
  <c r="I73" i="13" s="1"/>
  <c r="G71" i="13"/>
  <c r="H71" i="13" s="1"/>
  <c r="I71" i="13" s="1"/>
  <c r="G68" i="13"/>
  <c r="H68" i="13" s="1"/>
  <c r="I68" i="13" s="1"/>
  <c r="G66" i="13"/>
  <c r="H66" i="13" s="1"/>
  <c r="I66" i="13" s="1"/>
  <c r="G65" i="13"/>
  <c r="H65" i="13" s="1"/>
  <c r="I65" i="13" s="1"/>
  <c r="G64" i="13"/>
  <c r="L22" i="23" l="1"/>
  <c r="L28" i="23"/>
  <c r="E35" i="23"/>
  <c r="H29" i="23"/>
  <c r="H73" i="23"/>
  <c r="I29" i="23"/>
  <c r="J29" i="23"/>
  <c r="I73" i="23"/>
  <c r="M59" i="23"/>
  <c r="M65" i="23"/>
  <c r="M72" i="23" s="1"/>
  <c r="L73" i="23"/>
  <c r="M71" i="23"/>
  <c r="L78" i="23" s="1"/>
  <c r="H64" i="13"/>
  <c r="I64" i="13" s="1"/>
  <c r="E47" i="11"/>
  <c r="E19" i="13" s="1"/>
  <c r="F19" i="13" s="1"/>
  <c r="F47" i="11"/>
  <c r="E20" i="13" s="1"/>
  <c r="F20" i="13" s="1"/>
  <c r="G47" i="11"/>
  <c r="E21" i="13" s="1"/>
  <c r="F21" i="13" s="1"/>
  <c r="H47" i="11"/>
  <c r="E22" i="13" s="1"/>
  <c r="F22" i="13" s="1"/>
  <c r="I47" i="11"/>
  <c r="E23" i="13" s="1"/>
  <c r="F23" i="13" s="1"/>
  <c r="J47" i="11"/>
  <c r="E24" i="13" s="1"/>
  <c r="F24" i="13" s="1"/>
  <c r="K47" i="11"/>
  <c r="E25" i="13" s="1"/>
  <c r="F25" i="13" s="1"/>
  <c r="L47" i="11"/>
  <c r="E26" i="13" s="1"/>
  <c r="F26" i="13" s="1"/>
  <c r="L29" i="23" l="1"/>
  <c r="E34" i="23" s="1"/>
  <c r="L35" i="23"/>
  <c r="L36" i="23" s="1"/>
  <c r="E40" i="23"/>
  <c r="E42" i="23" s="1"/>
  <c r="L40" i="23" s="1"/>
  <c r="L42" i="23" s="1"/>
  <c r="N35" i="23"/>
  <c r="C17" i="24" s="1"/>
  <c r="M66" i="23"/>
  <c r="E79" i="23" s="1"/>
  <c r="E84" i="23" s="1"/>
  <c r="M47" i="11"/>
  <c r="E27" i="13"/>
  <c r="E24" i="11"/>
  <c r="E8" i="13"/>
  <c r="G24" i="11"/>
  <c r="E9" i="13" s="1"/>
  <c r="F9" i="13" s="1"/>
  <c r="H24" i="11"/>
  <c r="E10" i="13" s="1"/>
  <c r="F10" i="13" s="1"/>
  <c r="I24" i="11"/>
  <c r="F11" i="13" s="1"/>
  <c r="J24" i="11"/>
  <c r="K24" i="11"/>
  <c r="E13" i="13" s="1"/>
  <c r="F13" i="13" s="1"/>
  <c r="L24" i="11"/>
  <c r="E14" i="13" s="1"/>
  <c r="F14" i="13" s="1"/>
  <c r="D54" i="13"/>
  <c r="L79" i="23" l="1"/>
  <c r="L80" i="23" s="1"/>
  <c r="M73" i="23"/>
  <c r="E78" i="23" s="1"/>
  <c r="F8" i="13"/>
  <c r="E86" i="23"/>
  <c r="L84" i="23" s="1"/>
  <c r="L86" i="23" s="1"/>
  <c r="N84" i="23"/>
  <c r="C50" i="24" s="1"/>
  <c r="G54" i="13"/>
  <c r="D55" i="13"/>
  <c r="M24" i="11"/>
  <c r="E12" i="13"/>
  <c r="F12" i="13" l="1"/>
  <c r="F15" i="13" s="1"/>
  <c r="E15" i="13"/>
  <c r="G55" i="13"/>
  <c r="D77" i="13"/>
  <c r="E51" i="13"/>
  <c r="E50" i="13"/>
  <c r="E54" i="13"/>
  <c r="E48" i="13"/>
  <c r="E49" i="13"/>
  <c r="E52" i="13"/>
  <c r="E46" i="13"/>
  <c r="E47" i="13"/>
  <c r="E53" i="13"/>
  <c r="F77" i="13" l="1"/>
  <c r="F78" i="13" s="1"/>
  <c r="E77" i="13"/>
  <c r="E78" i="13" s="1"/>
  <c r="D78" i="13"/>
  <c r="E55" i="13"/>
  <c r="F27" i="13"/>
  <c r="G77" i="13" l="1"/>
  <c r="G78" i="13" l="1"/>
  <c r="H77" i="13"/>
  <c r="I77" i="13" s="1"/>
  <c r="H78" i="13" l="1"/>
  <c r="L61" i="13" s="1"/>
  <c r="I78" i="13" l="1"/>
</calcChain>
</file>

<file path=xl/sharedStrings.xml><?xml version="1.0" encoding="utf-8"?>
<sst xmlns="http://schemas.openxmlformats.org/spreadsheetml/2006/main" count="638" uniqueCount="280">
  <si>
    <t>Gold</t>
  </si>
  <si>
    <t>Cash</t>
  </si>
  <si>
    <t>Other</t>
  </si>
  <si>
    <t xml:space="preserve">Property </t>
  </si>
  <si>
    <t xml:space="preserve">Offshore Equities </t>
  </si>
  <si>
    <t xml:space="preserve">Total </t>
  </si>
  <si>
    <t>Satrix MSCI World ETF</t>
  </si>
  <si>
    <t>NewGold ETF</t>
  </si>
  <si>
    <t>To Buy:</t>
  </si>
  <si>
    <t>Monthly Performance  %</t>
  </si>
  <si>
    <t>Cumulative Performance %</t>
  </si>
  <si>
    <t>Domestic Equities</t>
  </si>
  <si>
    <t>10X S&amp;P 500 ETF</t>
  </si>
  <si>
    <t xml:space="preserve">Cash </t>
  </si>
  <si>
    <t>Offshore Bonds</t>
  </si>
  <si>
    <t>Domestic Bonds</t>
  </si>
  <si>
    <t xml:space="preserve">Blue Alpha Global Equity Fund </t>
  </si>
  <si>
    <t xml:space="preserve">Fairtree Income Plus Fund </t>
  </si>
  <si>
    <t xml:space="preserve">BCI Flexible Instit Fund </t>
  </si>
  <si>
    <t xml:space="preserve">Granate BCI Balanced Fund </t>
  </si>
  <si>
    <t>Satrix MSCI World Feeder ETF</t>
  </si>
  <si>
    <t>10X S&amp;P 500 Index Feeder ETF</t>
  </si>
  <si>
    <t xml:space="preserve">BCI Flexible Instit Fund  </t>
  </si>
  <si>
    <t>Offshore Equities %</t>
  </si>
  <si>
    <t>Domestic Equities %</t>
  </si>
  <si>
    <t>Offshore Bonds %</t>
  </si>
  <si>
    <t>Domestic Bonds %</t>
  </si>
  <si>
    <t>Gold %</t>
  </si>
  <si>
    <t>Property %</t>
  </si>
  <si>
    <t>Cash %</t>
  </si>
  <si>
    <t>Other %</t>
  </si>
  <si>
    <t>Total %</t>
  </si>
  <si>
    <t>JAN</t>
  </si>
  <si>
    <t>FEB</t>
  </si>
  <si>
    <t>MAR</t>
  </si>
  <si>
    <t>APR</t>
  </si>
  <si>
    <t>MAY</t>
  </si>
  <si>
    <t>JUN</t>
  </si>
  <si>
    <t>JUL</t>
  </si>
  <si>
    <t>AUG</t>
  </si>
  <si>
    <t>SEPT</t>
  </si>
  <si>
    <t>OCT</t>
  </si>
  <si>
    <t>NOV</t>
  </si>
  <si>
    <t>DEC</t>
  </si>
  <si>
    <t>YTD</t>
  </si>
  <si>
    <t>Satrix Fini ETF</t>
  </si>
  <si>
    <t>Satrix Rafi 40 ETF</t>
  </si>
  <si>
    <t>1nvest MSCI EM Asia Index ETF</t>
  </si>
  <si>
    <t>Asset Class</t>
  </si>
  <si>
    <t>Portfolio Weight %</t>
  </si>
  <si>
    <t xml:space="preserve">Amount (ZAR) </t>
  </si>
  <si>
    <t>Expected Return %</t>
  </si>
  <si>
    <t>Expected Return (ZAR)</t>
  </si>
  <si>
    <t>1nvest MSCI EM Asia ETF</t>
  </si>
  <si>
    <t xml:space="preserve">BUY/SELL Asset </t>
  </si>
  <si>
    <t>Target Return %</t>
  </si>
  <si>
    <t xml:space="preserve">Best Case </t>
  </si>
  <si>
    <t xml:space="preserve">Base Case </t>
  </si>
  <si>
    <t xml:space="preserve">Worst Case </t>
  </si>
  <si>
    <t>Portfolio valuation (ZAR)</t>
  </si>
  <si>
    <t xml:space="preserve">Index Case </t>
  </si>
  <si>
    <t>Amount (ZAR)</t>
  </si>
  <si>
    <t xml:space="preserve">Total Invested </t>
  </si>
  <si>
    <t xml:space="preserve">To Sell: </t>
  </si>
  <si>
    <t xml:space="preserve">Max Drawdown % </t>
  </si>
  <si>
    <t>Currency Exposure</t>
  </si>
  <si>
    <t>USD, BWP, ZAR</t>
  </si>
  <si>
    <t>USD</t>
  </si>
  <si>
    <t>USD, JPY, GBP, CAD, EUR, CHF, EUR, AUD, EUR, SEK, HKD</t>
  </si>
  <si>
    <t>USD, JPY, CNY, CAD, TWD, GBP, KRW, AUD, EUR, IND</t>
  </si>
  <si>
    <t>ZAR</t>
  </si>
  <si>
    <t>CNY, TWD, INR, KRW, MYR, IDR, THB</t>
  </si>
  <si>
    <t>Liquidity %</t>
  </si>
  <si>
    <t>TWD, GBP, HKD, ZAR, EUR, USD</t>
  </si>
  <si>
    <t xml:space="preserve">Sharpe Ratio </t>
  </si>
  <si>
    <t xml:space="preserve">Risk Free Rate </t>
  </si>
  <si>
    <t xml:space="preserve">United States (USD) </t>
  </si>
  <si>
    <t>South Africa (ZAR)</t>
  </si>
  <si>
    <t>Japan (JPY)</t>
  </si>
  <si>
    <t>ZAR, CNY, USD</t>
  </si>
  <si>
    <t xml:space="preserve">Other </t>
  </si>
  <si>
    <t>Europe (EUR)</t>
  </si>
  <si>
    <t xml:space="preserve">Pacific </t>
  </si>
  <si>
    <t xml:space="preserve">Middle East  </t>
  </si>
  <si>
    <t>Asia (Exc Japan)</t>
  </si>
  <si>
    <t xml:space="preserve">Geographical Region </t>
  </si>
  <si>
    <t xml:space="preserve">Inputs </t>
  </si>
  <si>
    <t xml:space="preserve">Table Of Contents </t>
  </si>
  <si>
    <t>1.</t>
  </si>
  <si>
    <t>Transactions</t>
  </si>
  <si>
    <t>2.</t>
  </si>
  <si>
    <t>3.</t>
  </si>
  <si>
    <t xml:space="preserve">Key: </t>
  </si>
  <si>
    <t>Formulas</t>
  </si>
  <si>
    <t>Hard Codes</t>
  </si>
  <si>
    <t xml:space="preserve">Total Amount (ZAR) </t>
  </si>
  <si>
    <t xml:space="preserve">Portfolio Valuation and Performance </t>
  </si>
  <si>
    <t xml:space="preserve">Investment </t>
  </si>
  <si>
    <t>Projected Tax Expense (ZAR)</t>
  </si>
  <si>
    <t>Tax Analysis</t>
  </si>
  <si>
    <t>Investment X</t>
  </si>
  <si>
    <t>Investment Y</t>
  </si>
  <si>
    <t xml:space="preserve">Investment Y </t>
  </si>
  <si>
    <t>Investment Z</t>
  </si>
  <si>
    <t>Investment A</t>
  </si>
  <si>
    <t xml:space="preserve">Withdrawals/Deposits </t>
  </si>
  <si>
    <t xml:space="preserve">Date (MMM-YY) </t>
  </si>
  <si>
    <t>Date (DD-MMM-YY)</t>
  </si>
  <si>
    <t>Investment</t>
  </si>
  <si>
    <t xml:space="preserve">Volatility (standard deviation %) </t>
  </si>
  <si>
    <t xml:space="preserve">BCI Portfolio </t>
  </si>
  <si>
    <t>Standard Bank Portfolio</t>
  </si>
  <si>
    <t>BCI Portfolio Monthly Returns %</t>
  </si>
  <si>
    <t>Standard Bank Portfolio Monthly Returns %</t>
  </si>
  <si>
    <t xml:space="preserve">Standard Bank Portfolio </t>
  </si>
  <si>
    <t xml:space="preserve">Best </t>
  </si>
  <si>
    <t xml:space="preserve">Base </t>
  </si>
  <si>
    <t xml:space="preserve">Worst </t>
  </si>
  <si>
    <t xml:space="preserve">Driver Switch </t>
  </si>
  <si>
    <t>Allocation Data</t>
  </si>
  <si>
    <t>Total</t>
  </si>
  <si>
    <t xml:space="preserve">Net Tax Return (ZAR) </t>
  </si>
  <si>
    <t>Net Tax Return %</t>
  </si>
  <si>
    <t>Scenario Analysis - Expected Returns</t>
  </si>
  <si>
    <t xml:space="preserve">Asset Allocation Summary </t>
  </si>
  <si>
    <t xml:space="preserve">Historical Performance </t>
  </si>
  <si>
    <t xml:space="preserve">Portfolio Allocation Structure </t>
  </si>
  <si>
    <t>Portfolio Expected Returns</t>
  </si>
  <si>
    <t>l</t>
  </si>
  <si>
    <t xml:space="preserve">Net Target Return  </t>
  </si>
  <si>
    <t>CGT Tax Rate</t>
  </si>
  <si>
    <t>CGT Tax</t>
  </si>
  <si>
    <t>Corporate Tax</t>
  </si>
  <si>
    <t xml:space="preserve">Corporate Tax Rate </t>
  </si>
  <si>
    <t>Weighted Average Cost of Capital (WACC)</t>
  </si>
  <si>
    <t>Name</t>
  </si>
  <si>
    <t>Debt</t>
  </si>
  <si>
    <t>Equity</t>
  </si>
  <si>
    <t>Debt/Equity</t>
  </si>
  <si>
    <t>Debt/Capital</t>
  </si>
  <si>
    <t xml:space="preserve">Levered Beta </t>
  </si>
  <si>
    <t xml:space="preserve">Unlevered Beta </t>
  </si>
  <si>
    <t xml:space="preserve"> Tax Rate</t>
  </si>
  <si>
    <t>Figures in Rand</t>
  </si>
  <si>
    <t>VeloChain Distribution Pty Ltd</t>
  </si>
  <si>
    <t>SteelCore Manufacturing Pty Ltd</t>
  </si>
  <si>
    <t>Precision Components Pty Ltd</t>
  </si>
  <si>
    <t>GoldenGrain Foods Pty Ltd</t>
  </si>
  <si>
    <t>SwiftServe Beverages Pty Ltd</t>
  </si>
  <si>
    <t>Urban Harvest Foods Pty Ltd</t>
  </si>
  <si>
    <t>Natura Fresh Brands Pty Ltd</t>
  </si>
  <si>
    <t xml:space="preserve">Average </t>
  </si>
  <si>
    <t xml:space="preserve">Median </t>
  </si>
  <si>
    <t>Risk Premium for Equity</t>
  </si>
  <si>
    <t>Cost of Equity</t>
  </si>
  <si>
    <t>Market Risk Premium</t>
  </si>
  <si>
    <t>Average Unlevered Beta</t>
  </si>
  <si>
    <t>Equity Risk Premium</t>
  </si>
  <si>
    <t>Risk Free Rate</t>
  </si>
  <si>
    <t>Country Risk Premium</t>
  </si>
  <si>
    <t>Cost of Debt</t>
  </si>
  <si>
    <t>Capital Structure</t>
  </si>
  <si>
    <t>Weighted Average Cost of Capital</t>
  </si>
  <si>
    <t>Total Debt</t>
  </si>
  <si>
    <t xml:space="preserve">House Brands Pty Ltd </t>
  </si>
  <si>
    <t>Pre-Tax Cost of Debt</t>
  </si>
  <si>
    <t>Tax Rate</t>
  </si>
  <si>
    <t>After-Tax Cost of Debt</t>
  </si>
  <si>
    <t>Levered Beta</t>
  </si>
  <si>
    <t xml:space="preserve">Current </t>
  </si>
  <si>
    <t xml:space="preserve">Target </t>
  </si>
  <si>
    <t xml:space="preserve">Number of Shares Outstanding </t>
  </si>
  <si>
    <t xml:space="preserve">Share Price </t>
  </si>
  <si>
    <t xml:space="preserve">Debt/Equity </t>
  </si>
  <si>
    <t>Debt Capital</t>
  </si>
  <si>
    <t>Equity Capital</t>
  </si>
  <si>
    <t>Weight</t>
  </si>
  <si>
    <t>Cost</t>
  </si>
  <si>
    <t>Discounted Cash Flow Schedule: Multiple Method</t>
  </si>
  <si>
    <t>Discounted Cash Flow Schedule: Perpetuity Method</t>
  </si>
  <si>
    <t>Valuation</t>
  </si>
  <si>
    <t>Discrete Forecast</t>
  </si>
  <si>
    <t>WACC</t>
  </si>
  <si>
    <t xml:space="preserve">Terminal Growth Rate </t>
  </si>
  <si>
    <t>Unlevered Free Cash Flow</t>
  </si>
  <si>
    <t xml:space="preserve">Fiscal Year End </t>
  </si>
  <si>
    <t xml:space="preserve">Cash Flow Timing </t>
  </si>
  <si>
    <t>EBITDA</t>
  </si>
  <si>
    <t>Current Taxes</t>
  </si>
  <si>
    <t>Capital Expenditure</t>
  </si>
  <si>
    <t>Change in Working Capital</t>
  </si>
  <si>
    <t xml:space="preserve">Term </t>
  </si>
  <si>
    <t xml:space="preserve">EBITDA Method </t>
  </si>
  <si>
    <t>Unlevered Free Cash Flow Schedule</t>
  </si>
  <si>
    <t>Terminal Value</t>
  </si>
  <si>
    <t>Total Cash Flow</t>
  </si>
  <si>
    <t>Partial Period Adjustment</t>
  </si>
  <si>
    <t>Years for Discounting</t>
  </si>
  <si>
    <t xml:space="preserve">Unadjusted Cash Flows </t>
  </si>
  <si>
    <t xml:space="preserve">Adjusted Cash Flows </t>
  </si>
  <si>
    <t xml:space="preserve">Discounted Cash Flows </t>
  </si>
  <si>
    <t xml:space="preserve">Enterprise Value </t>
  </si>
  <si>
    <t xml:space="preserve">Equity Value  </t>
  </si>
  <si>
    <t xml:space="preserve">Equity Value Per Share </t>
  </si>
  <si>
    <t>Manual Method</t>
  </si>
  <si>
    <t xml:space="preserve">XNPV Method </t>
  </si>
  <si>
    <t>Enterprise Value</t>
  </si>
  <si>
    <t>Present Value of Discrete</t>
  </si>
  <si>
    <t>Present Value of Terminal</t>
  </si>
  <si>
    <t>Less: Net Debt</t>
  </si>
  <si>
    <t>Equity Value</t>
  </si>
  <si>
    <t xml:space="preserve">Other Inputs </t>
  </si>
  <si>
    <t xml:space="preserve">End of 2026 Balances </t>
  </si>
  <si>
    <t xml:space="preserve">Net Debt </t>
  </si>
  <si>
    <t>Shares Outstanding</t>
  </si>
  <si>
    <t xml:space="preserve">Equity Value per share </t>
  </si>
  <si>
    <t>Rands</t>
  </si>
  <si>
    <t>#</t>
  </si>
  <si>
    <t>Valuation Date</t>
  </si>
  <si>
    <t xml:space="preserve">Dates </t>
  </si>
  <si>
    <t>(dd/mm/yyyy)</t>
  </si>
  <si>
    <t>First Expected Cash Flow</t>
  </si>
  <si>
    <t>First Fiscal Year End for Forecast</t>
  </si>
  <si>
    <t>First Year of Forecast</t>
  </si>
  <si>
    <t>Days in Period</t>
  </si>
  <si>
    <t>Terminal Growth Rate</t>
  </si>
  <si>
    <t>Terminal EBITDA Multiple</t>
  </si>
  <si>
    <t>%</t>
  </si>
  <si>
    <t>X</t>
  </si>
  <si>
    <t>Share Price</t>
  </si>
  <si>
    <t>Rands per Share</t>
  </si>
  <si>
    <t xml:space="preserve">EBITDA </t>
  </si>
  <si>
    <t xml:space="preserve">Terminal Multiple </t>
  </si>
  <si>
    <t xml:space="preserve">Terminal Adjustment </t>
  </si>
  <si>
    <t>Dashboard: Perpetuity Method</t>
  </si>
  <si>
    <t>Dashboard: Multiple Method</t>
  </si>
  <si>
    <t xml:space="preserve">Equity Value </t>
  </si>
  <si>
    <t xml:space="preserve">Enterprsie Value </t>
  </si>
  <si>
    <t>Net Debt</t>
  </si>
  <si>
    <t>Current Share Price</t>
  </si>
  <si>
    <t>Terminal Multiple</t>
  </si>
  <si>
    <t>Premium (Discount) to Share Price</t>
  </si>
  <si>
    <t>Risk Assesment Data</t>
  </si>
  <si>
    <t>Risk Assesment</t>
  </si>
  <si>
    <t>Net Return %</t>
  </si>
  <si>
    <t xml:space="preserve">Capital Gains Tax Rate </t>
  </si>
  <si>
    <t xml:space="preserve">Risk Profile  </t>
  </si>
  <si>
    <t>High</t>
  </si>
  <si>
    <t>Low-Moderate</t>
  </si>
  <si>
    <t>Moderate</t>
  </si>
  <si>
    <t>Low</t>
  </si>
  <si>
    <t>Moderate-High</t>
  </si>
  <si>
    <t>4.</t>
  </si>
  <si>
    <t>5.</t>
  </si>
  <si>
    <t>6.</t>
  </si>
  <si>
    <t>7.</t>
  </si>
  <si>
    <t xml:space="preserve">Model </t>
  </si>
  <si>
    <t xml:space="preserve">Outputs </t>
  </si>
  <si>
    <t xml:space="preserve">DCF Inputs </t>
  </si>
  <si>
    <t xml:space="preserve">DCF Model </t>
  </si>
  <si>
    <t xml:space="preserve">DCF Outputs </t>
  </si>
  <si>
    <t>DCF Comps</t>
  </si>
  <si>
    <t xml:space="preserve">Investment Analysis &amp; DCF Valuation Portfolio - Summit Capital </t>
  </si>
  <si>
    <t>Net Income</t>
  </si>
  <si>
    <t>EV / EBITDA</t>
  </si>
  <si>
    <t>Peer Companies</t>
  </si>
  <si>
    <t>FY+1</t>
  </si>
  <si>
    <t>Average</t>
  </si>
  <si>
    <t>Median</t>
  </si>
  <si>
    <t>Maximum</t>
  </si>
  <si>
    <t>Minimum</t>
  </si>
  <si>
    <t xml:space="preserve">Comparable Trading Analysis </t>
  </si>
  <si>
    <t>DairyFresh Foods</t>
  </si>
  <si>
    <t>CreamCo SA</t>
  </si>
  <si>
    <t>FrostPeak Dairies</t>
  </si>
  <si>
    <t>Velvet Scoop Foods</t>
  </si>
  <si>
    <t>Alpine Dairy Group</t>
  </si>
  <si>
    <t>LTM</t>
  </si>
  <si>
    <t>P / E</t>
  </si>
  <si>
    <t xml:space="preserve">Target Company Valuation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</si>
</sst>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4" formatCode="_-&quot;R&quot;* #,##0.00_-;\-&quot;R&quot;* #,##0.00_-;_-&quot;R&quot;* &quot;-&quot;??_-;_-@_-"/>
    <numFmt numFmtId="43" formatCode="_-* #,##0.00_-;\-* #,##0.00_-;_-* &quot;-&quot;??_-;_-@_-"/>
    <numFmt numFmtId="164" formatCode="0.0%"/>
    <numFmt numFmtId="165" formatCode="\-"/>
    <numFmt numFmtId="166" formatCode="_-&quot;R&quot;* #,##0_-;\-&quot;R&quot;* #,##0_-;_-&quot;R&quot;* &quot;-&quot;??_-;_-@_-"/>
    <numFmt numFmtId="167" formatCode="_(#,##0_);\(#,##0\);_(&quot;–&quot;_);_(@_)"/>
    <numFmt numFmtId="168" formatCode="_(#,##0.0%_);\(#,##0.0%\);_(&quot;–&quot;_)_%;_(@_)_%"/>
    <numFmt numFmtId="169" formatCode="dd/mm/yyyy"/>
    <numFmt numFmtId="170" formatCode="0&quot;F&quot;"/>
    <numFmt numFmtId="171" formatCode="_(0.0\x_);\(0.0\x\);_(&quot;–&quot;_);_(@_)"/>
    <numFmt numFmtId="172" formatCode="#,##0_);\(#,##0\);\-"/>
    <numFmt numFmtId="173" formatCode="_(#,##0.00_);\(#,##0.00\);_(&quot;–&quot;_);_(@_)"/>
  </numFmts>
  <fonts count="39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theme="1"/>
      <name val="Aptos"/>
      <family val="2"/>
    </font>
    <font>
      <sz val="10"/>
      <color theme="1"/>
      <name val="Aptos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u/>
      <sz val="11"/>
      <color theme="10"/>
      <name val="Calibri"/>
      <family val="2"/>
      <scheme val="minor"/>
    </font>
    <font>
      <sz val="10"/>
      <color rgb="FF002060"/>
      <name val="Aptos"/>
      <family val="2"/>
    </font>
    <font>
      <b/>
      <sz val="10"/>
      <name val="Aptos"/>
      <family val="2"/>
    </font>
    <font>
      <sz val="10"/>
      <name val="Aptos"/>
      <family val="2"/>
    </font>
    <font>
      <b/>
      <sz val="9"/>
      <color theme="1"/>
      <name val="Aptos"/>
      <family val="2"/>
    </font>
    <font>
      <sz val="10"/>
      <color rgb="FFFF0000"/>
      <name val="Aptos"/>
      <family val="2"/>
    </font>
    <font>
      <b/>
      <sz val="9"/>
      <name val="Aptos"/>
      <family val="2"/>
    </font>
    <font>
      <sz val="10"/>
      <color rgb="FF0070C0"/>
      <name val="Aptos"/>
      <family val="2"/>
    </font>
    <font>
      <sz val="11"/>
      <color rgb="FF0070C0"/>
      <name val="Aptos"/>
      <family val="2"/>
    </font>
    <font>
      <b/>
      <sz val="10"/>
      <color rgb="FF0070C0"/>
      <name val="Aptos"/>
      <family val="2"/>
    </font>
    <font>
      <sz val="10"/>
      <color theme="0"/>
      <name val="Aptos"/>
      <family val="2"/>
    </font>
    <font>
      <sz val="11"/>
      <color theme="1"/>
      <name val="Open Sans"/>
      <family val="2"/>
    </font>
    <font>
      <b/>
      <sz val="10"/>
      <name val="Open Sans"/>
      <family val="2"/>
    </font>
    <font>
      <b/>
      <sz val="10"/>
      <color rgb="FF000000"/>
      <name val="Open Sans"/>
      <family val="2"/>
    </font>
    <font>
      <b/>
      <sz val="10"/>
      <color rgb="FF000000"/>
      <name val="Aptos"/>
      <family val="2"/>
    </font>
    <font>
      <sz val="10"/>
      <color rgb="FF000000"/>
      <name val="Aptos"/>
      <family val="2"/>
    </font>
    <font>
      <i/>
      <sz val="10"/>
      <color theme="1"/>
      <name val="Aptos"/>
      <family val="2"/>
    </font>
    <font>
      <sz val="10"/>
      <color rgb="FF000000"/>
      <name val="Open Sans"/>
      <family val="2"/>
    </font>
    <font>
      <i/>
      <sz val="9"/>
      <color theme="1"/>
      <name val="Aptos"/>
      <family val="2"/>
    </font>
    <font>
      <sz val="10"/>
      <name val="Open Sans"/>
      <family val="2"/>
    </font>
    <font>
      <sz val="10"/>
      <color theme="1"/>
      <name val="Open Sans"/>
      <family val="2"/>
    </font>
    <font>
      <i/>
      <sz val="8"/>
      <color theme="1"/>
      <name val="Aptos"/>
      <family val="2"/>
    </font>
    <font>
      <sz val="10"/>
      <color rgb="FF3271D2"/>
      <name val="Open Sans"/>
      <family val="2"/>
    </font>
    <font>
      <i/>
      <sz val="10"/>
      <color rgb="FF000000"/>
      <name val="Aptos"/>
      <family val="2"/>
    </font>
    <font>
      <b/>
      <sz val="12"/>
      <color theme="0"/>
      <name val="Aptos"/>
      <family val="2"/>
    </font>
    <font>
      <b/>
      <sz val="16"/>
      <color theme="0"/>
      <name val="Aptos"/>
      <family val="2"/>
    </font>
    <font>
      <sz val="10"/>
      <name val="Arial"/>
      <family val="2"/>
    </font>
    <font>
      <sz val="10"/>
      <color rgb="FF3271D2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47E10"/>
        <bgColor indexed="64"/>
      </patternFill>
    </fill>
    <fill>
      <patternFill patternType="solid">
        <fgColor theme="8" tint="-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 tint="-0.14999847407452621"/>
      </bottom>
      <diagonal/>
    </border>
    <border>
      <left/>
      <right style="thin">
        <color theme="0"/>
      </right>
      <top/>
      <bottom style="thin">
        <color theme="0" tint="-0.1499984740745262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14999847407452621"/>
      </left>
      <right/>
      <top style="thin">
        <color theme="0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/>
      </top>
      <bottom style="thin">
        <color theme="0" tint="-0.1499984740745262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medium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 tint="-0.14999847407452621"/>
      </bottom>
      <diagonal/>
    </border>
    <border>
      <left/>
      <right/>
      <top style="thin">
        <color theme="0"/>
      </top>
      <bottom style="thin">
        <color theme="0" tint="-0.14999847407452621"/>
      </bottom>
      <diagonal/>
    </border>
    <border>
      <left/>
      <right style="thin">
        <color theme="0"/>
      </right>
      <top style="thin">
        <color theme="0"/>
      </top>
      <bottom style="thin">
        <color theme="0" tint="-0.14999847407452621"/>
      </bottom>
      <diagonal/>
    </border>
  </borders>
  <cellStyleXfs count="6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7" fillId="0" borderId="0"/>
  </cellStyleXfs>
  <cellXfs count="420">
    <xf numFmtId="0" fontId="0" fillId="0" borderId="0" xfId="0"/>
    <xf numFmtId="44" fontId="0" fillId="0" borderId="0" xfId="0" applyNumberFormat="1"/>
    <xf numFmtId="0" fontId="4" fillId="0" borderId="0" xfId="0" applyFont="1"/>
    <xf numFmtId="0" fontId="10" fillId="0" borderId="0" xfId="0" applyFont="1"/>
    <xf numFmtId="44" fontId="10" fillId="0" borderId="0" xfId="0" applyNumberFormat="1" applyFont="1"/>
    <xf numFmtId="15" fontId="10" fillId="0" borderId="0" xfId="0" applyNumberFormat="1" applyFont="1" applyAlignment="1">
      <alignment horizontal="left"/>
    </xf>
    <xf numFmtId="0" fontId="10" fillId="0" borderId="0" xfId="0" applyFont="1" applyAlignment="1">
      <alignment wrapText="1"/>
    </xf>
    <xf numFmtId="0" fontId="9" fillId="0" borderId="0" xfId="0" applyFont="1"/>
    <xf numFmtId="44" fontId="9" fillId="0" borderId="0" xfId="0" applyNumberFormat="1" applyFont="1"/>
    <xf numFmtId="0" fontId="9" fillId="0" borderId="0" xfId="0" applyFont="1" applyAlignment="1">
      <alignment vertical="center"/>
    </xf>
    <xf numFmtId="10" fontId="9" fillId="0" borderId="0" xfId="1" applyNumberFormat="1" applyFont="1" applyAlignment="1"/>
    <xf numFmtId="10" fontId="10" fillId="0" borderId="0" xfId="1" applyNumberFormat="1" applyFont="1" applyAlignment="1">
      <alignment horizontal="center"/>
    </xf>
    <xf numFmtId="10" fontId="10" fillId="0" borderId="0" xfId="0" applyNumberFormat="1" applyFont="1" applyAlignment="1">
      <alignment horizontal="center"/>
    </xf>
    <xf numFmtId="10" fontId="10" fillId="2" borderId="0" xfId="1" applyNumberFormat="1" applyFont="1" applyFill="1" applyAlignment="1">
      <alignment horizontal="center"/>
    </xf>
    <xf numFmtId="10" fontId="9" fillId="0" borderId="0" xfId="1" applyNumberFormat="1" applyFont="1" applyFill="1" applyAlignment="1"/>
    <xf numFmtId="10" fontId="10" fillId="0" borderId="0" xfId="1" applyNumberFormat="1" applyFont="1"/>
    <xf numFmtId="44" fontId="9" fillId="0" borderId="0" xfId="0" applyNumberFormat="1" applyFont="1" applyAlignment="1">
      <alignment horizontal="center"/>
    </xf>
    <xf numFmtId="10" fontId="10" fillId="0" borderId="0" xfId="0" applyNumberFormat="1" applyFont="1"/>
    <xf numFmtId="0" fontId="10" fillId="0" borderId="0" xfId="0" applyFont="1" applyAlignment="1">
      <alignment horizontal="left"/>
    </xf>
    <xf numFmtId="0" fontId="14" fillId="0" borderId="0" xfId="0" applyFont="1" applyAlignment="1">
      <alignment vertical="center"/>
    </xf>
    <xf numFmtId="10" fontId="9" fillId="0" borderId="0" xfId="1" applyNumberFormat="1" applyFont="1" applyFill="1" applyAlignment="1">
      <alignment horizontal="left"/>
    </xf>
    <xf numFmtId="10" fontId="10" fillId="0" borderId="0" xfId="1" applyNumberFormat="1" applyFont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8" fillId="0" borderId="0" xfId="0" applyFont="1"/>
    <xf numFmtId="2" fontId="10" fillId="0" borderId="2" xfId="0" applyNumberFormat="1" applyFont="1" applyBorder="1" applyAlignment="1">
      <alignment horizontal="center"/>
    </xf>
    <xf numFmtId="10" fontId="18" fillId="0" borderId="2" xfId="0" applyNumberFormat="1" applyFont="1" applyBorder="1" applyAlignment="1">
      <alignment horizontal="center"/>
    </xf>
    <xf numFmtId="10" fontId="14" fillId="0" borderId="2" xfId="0" applyNumberFormat="1" applyFont="1" applyBorder="1" applyAlignment="1">
      <alignment horizontal="center"/>
    </xf>
    <xf numFmtId="10" fontId="18" fillId="0" borderId="2" xfId="1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165" fontId="18" fillId="0" borderId="2" xfId="0" applyNumberFormat="1" applyFont="1" applyBorder="1" applyAlignment="1">
      <alignment horizontal="center" vertical="center"/>
    </xf>
    <xf numFmtId="10" fontId="18" fillId="0" borderId="2" xfId="1" applyNumberFormat="1" applyFont="1" applyBorder="1" applyAlignment="1">
      <alignment horizontal="center" vertical="center"/>
    </xf>
    <xf numFmtId="10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/>
    </xf>
    <xf numFmtId="44" fontId="13" fillId="0" borderId="0" xfId="0" applyNumberFormat="1" applyFont="1" applyAlignment="1">
      <alignment horizontal="center"/>
    </xf>
    <xf numFmtId="44" fontId="10" fillId="0" borderId="2" xfId="0" applyNumberFormat="1" applyFont="1" applyBorder="1"/>
    <xf numFmtId="10" fontId="10" fillId="0" borderId="2" xfId="1" applyNumberFormat="1" applyFont="1" applyBorder="1" applyAlignment="1">
      <alignment horizontal="center" vertical="center"/>
    </xf>
    <xf numFmtId="10" fontId="18" fillId="0" borderId="0" xfId="1" applyNumberFormat="1" applyFont="1" applyBorder="1" applyAlignment="1">
      <alignment horizontal="center"/>
    </xf>
    <xf numFmtId="10" fontId="10" fillId="0" borderId="0" xfId="1" applyNumberFormat="1" applyFont="1" applyBorder="1" applyAlignment="1">
      <alignment horizontal="center"/>
    </xf>
    <xf numFmtId="0" fontId="9" fillId="0" borderId="0" xfId="0" applyFont="1" applyAlignment="1">
      <alignment horizontal="left" indent="1"/>
    </xf>
    <xf numFmtId="44" fontId="9" fillId="0" borderId="0" xfId="1" applyNumberFormat="1" applyFont="1" applyBorder="1" applyAlignment="1">
      <alignment horizontal="center" vertical="center"/>
    </xf>
    <xf numFmtId="10" fontId="10" fillId="0" borderId="2" xfId="1" applyNumberFormat="1" applyFont="1" applyBorder="1" applyAlignment="1">
      <alignment horizontal="center"/>
    </xf>
    <xf numFmtId="44" fontId="12" fillId="0" borderId="0" xfId="0" applyNumberFormat="1" applyFont="1" applyAlignment="1">
      <alignment horizontal="center"/>
    </xf>
    <xf numFmtId="15" fontId="10" fillId="0" borderId="2" xfId="0" applyNumberFormat="1" applyFont="1" applyBorder="1" applyAlignment="1">
      <alignment horizontal="left"/>
    </xf>
    <xf numFmtId="44" fontId="10" fillId="0" borderId="2" xfId="0" applyNumberFormat="1" applyFont="1" applyBorder="1" applyAlignment="1">
      <alignment horizontal="center"/>
    </xf>
    <xf numFmtId="44" fontId="10" fillId="0" borderId="7" xfId="0" applyNumberFormat="1" applyFont="1" applyBorder="1"/>
    <xf numFmtId="10" fontId="10" fillId="0" borderId="2" xfId="0" applyNumberFormat="1" applyFont="1" applyBorder="1" applyAlignment="1">
      <alignment horizontal="center" vertical="center"/>
    </xf>
    <xf numFmtId="10" fontId="18" fillId="0" borderId="7" xfId="1" applyNumberFormat="1" applyFont="1" applyBorder="1" applyAlignment="1">
      <alignment horizontal="center" vertical="center"/>
    </xf>
    <xf numFmtId="0" fontId="21" fillId="4" borderId="0" xfId="0" applyFont="1" applyFill="1"/>
    <xf numFmtId="17" fontId="14" fillId="0" borderId="7" xfId="0" applyNumberFormat="1" applyFont="1" applyBorder="1" applyAlignment="1">
      <alignment horizontal="left"/>
    </xf>
    <xf numFmtId="17" fontId="14" fillId="0" borderId="2" xfId="0" applyNumberFormat="1" applyFont="1" applyBorder="1" applyAlignment="1">
      <alignment horizontal="left"/>
    </xf>
    <xf numFmtId="44" fontId="10" fillId="0" borderId="6" xfId="0" applyNumberFormat="1" applyFont="1" applyBorder="1"/>
    <xf numFmtId="44" fontId="10" fillId="0" borderId="6" xfId="0" applyNumberFormat="1" applyFont="1" applyBorder="1" applyAlignment="1">
      <alignment horizontal="center"/>
    </xf>
    <xf numFmtId="10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8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 vertical="center"/>
    </xf>
    <xf numFmtId="10" fontId="21" fillId="5" borderId="0" xfId="1" applyNumberFormat="1" applyFont="1" applyFill="1" applyAlignment="1">
      <alignment horizontal="center"/>
    </xf>
    <xf numFmtId="10" fontId="21" fillId="5" borderId="0" xfId="1" applyNumberFormat="1" applyFont="1" applyFill="1" applyAlignment="1">
      <alignment horizontal="center" vertical="center"/>
    </xf>
    <xf numFmtId="10" fontId="21" fillId="6" borderId="0" xfId="1" applyNumberFormat="1" applyFont="1" applyFill="1" applyAlignment="1">
      <alignment horizontal="center"/>
    </xf>
    <xf numFmtId="10" fontId="21" fillId="6" borderId="0" xfId="1" applyNumberFormat="1" applyFont="1" applyFill="1" applyAlignment="1">
      <alignment horizontal="center" vertical="center"/>
    </xf>
    <xf numFmtId="166" fontId="10" fillId="0" borderId="2" xfId="0" applyNumberFormat="1" applyFont="1" applyBorder="1"/>
    <xf numFmtId="166" fontId="9" fillId="0" borderId="2" xfId="0" applyNumberFormat="1" applyFont="1" applyBorder="1"/>
    <xf numFmtId="166" fontId="14" fillId="0" borderId="2" xfId="0" applyNumberFormat="1" applyFont="1" applyBorder="1"/>
    <xf numFmtId="166" fontId="18" fillId="0" borderId="7" xfId="0" applyNumberFormat="1" applyFont="1" applyBorder="1" applyAlignment="1">
      <alignment horizontal="left"/>
    </xf>
    <xf numFmtId="166" fontId="18" fillId="0" borderId="7" xfId="0" applyNumberFormat="1" applyFont="1" applyBorder="1" applyAlignment="1">
      <alignment horizontal="center"/>
    </xf>
    <xf numFmtId="166" fontId="10" fillId="0" borderId="7" xfId="0" applyNumberFormat="1" applyFont="1" applyBorder="1" applyAlignment="1">
      <alignment horizontal="center"/>
    </xf>
    <xf numFmtId="166" fontId="18" fillId="0" borderId="2" xfId="0" applyNumberFormat="1" applyFont="1" applyBorder="1" applyAlignment="1">
      <alignment horizontal="left"/>
    </xf>
    <xf numFmtId="166" fontId="18" fillId="0" borderId="2" xfId="0" applyNumberFormat="1" applyFont="1" applyBorder="1" applyAlignment="1">
      <alignment horizontal="center"/>
    </xf>
    <xf numFmtId="0" fontId="8" fillId="0" borderId="0" xfId="0" applyFont="1"/>
    <xf numFmtId="0" fontId="26" fillId="0" borderId="0" xfId="0" applyFont="1" applyAlignment="1">
      <alignment horizontal="left"/>
    </xf>
    <xf numFmtId="49" fontId="26" fillId="0" borderId="0" xfId="0" applyNumberFormat="1" applyFont="1" applyAlignment="1">
      <alignment horizontal="left"/>
    </xf>
    <xf numFmtId="2" fontId="10" fillId="0" borderId="0" xfId="0" applyNumberFormat="1" applyFont="1"/>
    <xf numFmtId="166" fontId="18" fillId="0" borderId="2" xfId="0" applyNumberFormat="1" applyFont="1" applyBorder="1"/>
    <xf numFmtId="166" fontId="13" fillId="0" borderId="0" xfId="0" applyNumberFormat="1" applyFont="1"/>
    <xf numFmtId="166" fontId="10" fillId="0" borderId="0" xfId="0" applyNumberFormat="1" applyFont="1"/>
    <xf numFmtId="166" fontId="9" fillId="0" borderId="0" xfId="0" applyNumberFormat="1" applyFont="1"/>
    <xf numFmtId="166" fontId="16" fillId="0" borderId="2" xfId="0" applyNumberFormat="1" applyFont="1" applyBorder="1" applyAlignment="1">
      <alignment horizontal="left"/>
    </xf>
    <xf numFmtId="166" fontId="12" fillId="0" borderId="2" xfId="0" applyNumberFormat="1" applyFont="1" applyBorder="1" applyAlignment="1">
      <alignment horizontal="left"/>
    </xf>
    <xf numFmtId="166" fontId="10" fillId="0" borderId="2" xfId="0" applyNumberFormat="1" applyFont="1" applyBorder="1" applyAlignment="1">
      <alignment horizontal="center"/>
    </xf>
    <xf numFmtId="9" fontId="10" fillId="0" borderId="0" xfId="1" applyFont="1"/>
    <xf numFmtId="0" fontId="10" fillId="0" borderId="3" xfId="0" applyFont="1" applyBorder="1"/>
    <xf numFmtId="0" fontId="7" fillId="0" borderId="8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22" fillId="0" borderId="0" xfId="0" applyFont="1"/>
    <xf numFmtId="9" fontId="10" fillId="0" borderId="11" xfId="0" applyNumberFormat="1" applyFont="1" applyBorder="1" applyAlignment="1">
      <alignment horizontal="center"/>
    </xf>
    <xf numFmtId="2" fontId="10" fillId="0" borderId="11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9" fillId="0" borderId="11" xfId="0" applyFont="1" applyBorder="1" applyAlignment="1">
      <alignment horizontal="left" vertical="center"/>
    </xf>
    <xf numFmtId="10" fontId="18" fillId="0" borderId="0" xfId="0" applyNumberFormat="1" applyFont="1" applyAlignment="1">
      <alignment horizontal="right" vertical="center"/>
    </xf>
    <xf numFmtId="10" fontId="10" fillId="0" borderId="0" xfId="1" applyNumberFormat="1" applyFont="1" applyAlignment="1">
      <alignment horizontal="right" vertical="center"/>
    </xf>
    <xf numFmtId="10" fontId="18" fillId="0" borderId="0" xfId="1" applyNumberFormat="1" applyFont="1" applyAlignment="1">
      <alignment horizontal="right" vertical="center"/>
    </xf>
    <xf numFmtId="2" fontId="10" fillId="0" borderId="0" xfId="0" applyNumberFormat="1" applyFont="1" applyAlignment="1">
      <alignment horizontal="right" vertical="center"/>
    </xf>
    <xf numFmtId="10" fontId="10" fillId="0" borderId="0" xfId="1" applyNumberFormat="1" applyFont="1" applyAlignment="1">
      <alignment horizontal="right"/>
    </xf>
    <xf numFmtId="10" fontId="18" fillId="0" borderId="0" xfId="1" applyNumberFormat="1" applyFont="1" applyAlignment="1">
      <alignment horizontal="center"/>
    </xf>
    <xf numFmtId="2" fontId="10" fillId="0" borderId="0" xfId="1" applyNumberFormat="1" applyFont="1" applyAlignment="1">
      <alignment horizontal="right" vertical="center"/>
    </xf>
    <xf numFmtId="0" fontId="29" fillId="0" borderId="0" xfId="0" applyFont="1"/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/>
    </xf>
    <xf numFmtId="0" fontId="8" fillId="0" borderId="3" xfId="0" applyFont="1" applyBorder="1"/>
    <xf numFmtId="0" fontId="7" fillId="0" borderId="3" xfId="0" applyFont="1" applyBorder="1" applyAlignment="1">
      <alignment horizontal="left" vertical="center"/>
    </xf>
    <xf numFmtId="9" fontId="8" fillId="0" borderId="3" xfId="0" applyNumberFormat="1" applyFont="1" applyBorder="1" applyAlignment="1">
      <alignment horizontal="center"/>
    </xf>
    <xf numFmtId="2" fontId="8" fillId="0" borderId="3" xfId="1" applyNumberFormat="1" applyFont="1" applyBorder="1" applyAlignment="1">
      <alignment horizontal="center"/>
    </xf>
    <xf numFmtId="0" fontId="10" fillId="0" borderId="10" xfId="0" applyFont="1" applyBorder="1"/>
    <xf numFmtId="0" fontId="25" fillId="0" borderId="10" xfId="0" applyFont="1" applyBorder="1" applyAlignment="1">
      <alignment horizontal="left"/>
    </xf>
    <xf numFmtId="168" fontId="25" fillId="0" borderId="10" xfId="0" applyNumberFormat="1" applyFont="1" applyBorder="1" applyAlignment="1">
      <alignment horizontal="center" vertical="center"/>
    </xf>
    <xf numFmtId="10" fontId="18" fillId="0" borderId="9" xfId="1" applyNumberFormat="1" applyFont="1" applyBorder="1" applyAlignment="1">
      <alignment horizontal="center"/>
    </xf>
    <xf numFmtId="10" fontId="10" fillId="0" borderId="9" xfId="1" applyNumberFormat="1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26" fillId="0" borderId="9" xfId="0" applyFont="1" applyBorder="1" applyAlignment="1">
      <alignment horizontal="left"/>
    </xf>
    <xf numFmtId="10" fontId="10" fillId="0" borderId="9" xfId="0" applyNumberFormat="1" applyFont="1" applyBorder="1" applyAlignment="1">
      <alignment horizontal="center"/>
    </xf>
    <xf numFmtId="0" fontId="10" fillId="0" borderId="13" xfId="0" applyFont="1" applyBorder="1"/>
    <xf numFmtId="10" fontId="10" fillId="0" borderId="13" xfId="0" applyNumberFormat="1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10" fillId="0" borderId="12" xfId="0" applyFont="1" applyBorder="1"/>
    <xf numFmtId="0" fontId="10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horizontal="left"/>
    </xf>
    <xf numFmtId="0" fontId="10" fillId="0" borderId="12" xfId="0" applyFont="1" applyBorder="1" applyAlignment="1">
      <alignment horizontal="center"/>
    </xf>
    <xf numFmtId="10" fontId="10" fillId="0" borderId="0" xfId="1" applyNumberFormat="1" applyFont="1" applyBorder="1" applyAlignment="1">
      <alignment horizontal="right" vertical="center"/>
    </xf>
    <xf numFmtId="0" fontId="27" fillId="0" borderId="0" xfId="0" applyFont="1"/>
    <xf numFmtId="169" fontId="26" fillId="0" borderId="2" xfId="0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10" fontId="9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170" fontId="13" fillId="0" borderId="1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right"/>
    </xf>
    <xf numFmtId="3" fontId="14" fillId="0" borderId="9" xfId="0" applyNumberFormat="1" applyFont="1" applyBorder="1" applyAlignment="1">
      <alignment horizontal="right"/>
    </xf>
    <xf numFmtId="167" fontId="18" fillId="0" borderId="0" xfId="0" applyNumberFormat="1" applyFont="1" applyAlignment="1">
      <alignment horizontal="right"/>
    </xf>
    <xf numFmtId="3" fontId="10" fillId="0" borderId="0" xfId="0" applyNumberFormat="1" applyFont="1"/>
    <xf numFmtId="170" fontId="13" fillId="0" borderId="0" xfId="0" applyNumberFormat="1" applyFont="1" applyAlignment="1">
      <alignment horizontal="center"/>
    </xf>
    <xf numFmtId="3" fontId="10" fillId="0" borderId="13" xfId="0" applyNumberFormat="1" applyFont="1" applyBorder="1"/>
    <xf numFmtId="41" fontId="10" fillId="0" borderId="0" xfId="0" applyNumberFormat="1" applyFont="1"/>
    <xf numFmtId="1" fontId="10" fillId="0" borderId="0" xfId="0" applyNumberFormat="1" applyFont="1"/>
    <xf numFmtId="41" fontId="18" fillId="0" borderId="0" xfId="0" applyNumberFormat="1" applyFont="1"/>
    <xf numFmtId="41" fontId="14" fillId="0" borderId="0" xfId="0" applyNumberFormat="1" applyFont="1"/>
    <xf numFmtId="0" fontId="14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26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10" fillId="0" borderId="8" xfId="0" applyFont="1" applyBorder="1"/>
    <xf numFmtId="0" fontId="9" fillId="0" borderId="8" xfId="0" applyFont="1" applyBorder="1"/>
    <xf numFmtId="0" fontId="10" fillId="0" borderId="20" xfId="0" applyFont="1" applyBorder="1" applyAlignment="1">
      <alignment horizontal="right"/>
    </xf>
    <xf numFmtId="3" fontId="10" fillId="0" borderId="9" xfId="0" applyNumberFormat="1" applyFont="1" applyBorder="1"/>
    <xf numFmtId="0" fontId="7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169" fontId="18" fillId="0" borderId="0" xfId="0" applyNumberFormat="1" applyFont="1" applyAlignment="1">
      <alignment horizontal="right"/>
    </xf>
    <xf numFmtId="49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18" fillId="0" borderId="0" xfId="0" applyFont="1" applyAlignment="1">
      <alignment horizontal="right"/>
    </xf>
    <xf numFmtId="0" fontId="28" fillId="0" borderId="0" xfId="0" applyFont="1" applyAlignment="1">
      <alignment vertical="center"/>
    </xf>
    <xf numFmtId="9" fontId="18" fillId="0" borderId="0" xfId="0" applyNumberFormat="1" applyFont="1" applyAlignment="1">
      <alignment horizontal="right" vertical="center"/>
    </xf>
    <xf numFmtId="171" fontId="33" fillId="0" borderId="0" xfId="3" applyNumberFormat="1" applyFont="1" applyFill="1" applyBorder="1" applyAlignment="1">
      <alignment vertical="center"/>
    </xf>
    <xf numFmtId="3" fontId="14" fillId="0" borderId="0" xfId="1" applyNumberFormat="1" applyFont="1" applyAlignment="1">
      <alignment horizontal="right"/>
    </xf>
    <xf numFmtId="41" fontId="18" fillId="0" borderId="14" xfId="0" applyNumberFormat="1" applyFont="1" applyBorder="1"/>
    <xf numFmtId="0" fontId="10" fillId="0" borderId="15" xfId="0" applyFont="1" applyBorder="1"/>
    <xf numFmtId="3" fontId="10" fillId="0" borderId="14" xfId="0" applyNumberFormat="1" applyFont="1" applyBorder="1"/>
    <xf numFmtId="3" fontId="10" fillId="0" borderId="15" xfId="0" applyNumberFormat="1" applyFont="1" applyBorder="1"/>
    <xf numFmtId="167" fontId="33" fillId="0" borderId="0" xfId="0" applyNumberFormat="1" applyFont="1" applyAlignment="1">
      <alignment horizontal="right"/>
    </xf>
    <xf numFmtId="167" fontId="28" fillId="0" borderId="0" xfId="0" applyNumberFormat="1" applyFont="1" applyAlignment="1">
      <alignment horizontal="right"/>
    </xf>
    <xf numFmtId="172" fontId="24" fillId="0" borderId="0" xfId="0" applyNumberFormat="1" applyFont="1"/>
    <xf numFmtId="168" fontId="28" fillId="0" borderId="0" xfId="3" applyNumberFormat="1" applyFont="1" applyFill="1" applyBorder="1" applyAlignment="1">
      <alignment horizontal="right"/>
    </xf>
    <xf numFmtId="173" fontId="33" fillId="0" borderId="0" xfId="0" applyNumberFormat="1" applyFont="1"/>
    <xf numFmtId="173" fontId="28" fillId="0" borderId="0" xfId="0" applyNumberFormat="1" applyFont="1"/>
    <xf numFmtId="167" fontId="33" fillId="0" borderId="0" xfId="0" applyNumberFormat="1" applyFont="1"/>
    <xf numFmtId="167" fontId="28" fillId="0" borderId="0" xfId="0" applyNumberFormat="1" applyFont="1"/>
    <xf numFmtId="167" fontId="28" fillId="0" borderId="9" xfId="0" applyNumberFormat="1" applyFont="1" applyBorder="1" applyAlignment="1">
      <alignment horizontal="right"/>
    </xf>
    <xf numFmtId="41" fontId="14" fillId="0" borderId="9" xfId="0" applyNumberFormat="1" applyFont="1" applyBorder="1"/>
    <xf numFmtId="41" fontId="18" fillId="0" borderId="19" xfId="0" applyNumberFormat="1" applyFont="1" applyBorder="1"/>
    <xf numFmtId="3" fontId="10" fillId="0" borderId="24" xfId="0" applyNumberFormat="1" applyFont="1" applyBorder="1"/>
    <xf numFmtId="3" fontId="21" fillId="0" borderId="0" xfId="0" applyNumberFormat="1" applyFont="1"/>
    <xf numFmtId="0" fontId="3" fillId="0" borderId="0" xfId="0" applyFont="1" applyAlignment="1">
      <alignment vertical="center"/>
    </xf>
    <xf numFmtId="168" fontId="34" fillId="0" borderId="0" xfId="1" applyNumberFormat="1" applyFont="1" applyFill="1" applyBorder="1" applyAlignment="1">
      <alignment horizontal="right" vertical="center"/>
    </xf>
    <xf numFmtId="0" fontId="3" fillId="0" borderId="0" xfId="0" applyFont="1"/>
    <xf numFmtId="0" fontId="9" fillId="0" borderId="8" xfId="0" applyFont="1" applyBorder="1" applyAlignment="1">
      <alignment horizontal="left"/>
    </xf>
    <xf numFmtId="164" fontId="3" fillId="0" borderId="0" xfId="0" applyNumberFormat="1" applyFont="1"/>
    <xf numFmtId="164" fontId="3" fillId="0" borderId="0" xfId="1" applyNumberFormat="1" applyFont="1"/>
    <xf numFmtId="3" fontId="3" fillId="0" borderId="0" xfId="0" applyNumberFormat="1" applyFont="1"/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172" fontId="21" fillId="0" borderId="0" xfId="0" applyNumberFormat="1" applyFont="1" applyAlignment="1">
      <alignment horizontal="right"/>
    </xf>
    <xf numFmtId="0" fontId="9" fillId="0" borderId="0" xfId="0" applyFont="1" applyAlignment="1">
      <alignment horizontal="centerContinuous"/>
    </xf>
    <xf numFmtId="0" fontId="9" fillId="0" borderId="0" xfId="0" applyFont="1" applyAlignment="1">
      <alignment horizontal="centerContinuous" vertical="center"/>
    </xf>
    <xf numFmtId="168" fontId="34" fillId="0" borderId="0" xfId="1" applyNumberFormat="1" applyFont="1" applyFill="1" applyBorder="1" applyAlignment="1">
      <alignment horizontal="center" vertical="center"/>
    </xf>
    <xf numFmtId="167" fontId="26" fillId="0" borderId="16" xfId="3" applyNumberFormat="1" applyFont="1" applyFill="1" applyBorder="1" applyAlignment="1">
      <alignment horizontal="center" vertical="center"/>
    </xf>
    <xf numFmtId="167" fontId="26" fillId="0" borderId="9" xfId="3" applyNumberFormat="1" applyFont="1" applyFill="1" applyBorder="1" applyAlignment="1">
      <alignment horizontal="center" vertical="center"/>
    </xf>
    <xf numFmtId="167" fontId="26" fillId="0" borderId="17" xfId="3" applyNumberFormat="1" applyFont="1" applyFill="1" applyBorder="1" applyAlignment="1">
      <alignment horizontal="center" vertical="center"/>
    </xf>
    <xf numFmtId="167" fontId="26" fillId="0" borderId="25" xfId="3" applyNumberFormat="1" applyFont="1" applyFill="1" applyBorder="1" applyAlignment="1">
      <alignment horizontal="center" vertical="center"/>
    </xf>
    <xf numFmtId="167" fontId="26" fillId="0" borderId="0" xfId="3" applyNumberFormat="1" applyFont="1" applyFill="1" applyBorder="1" applyAlignment="1">
      <alignment horizontal="center" vertical="center"/>
    </xf>
    <xf numFmtId="167" fontId="26" fillId="0" borderId="18" xfId="3" applyNumberFormat="1" applyFont="1" applyFill="1" applyBorder="1" applyAlignment="1">
      <alignment horizontal="center" vertical="center"/>
    </xf>
    <xf numFmtId="167" fontId="25" fillId="0" borderId="23" xfId="3" applyNumberFormat="1" applyFont="1" applyFill="1" applyBorder="1" applyAlignment="1">
      <alignment horizontal="center" vertical="center"/>
    </xf>
    <xf numFmtId="167" fontId="26" fillId="0" borderId="21" xfId="3" applyNumberFormat="1" applyFont="1" applyFill="1" applyBorder="1" applyAlignment="1">
      <alignment horizontal="center" vertical="center"/>
    </xf>
    <xf numFmtId="167" fontId="26" fillId="0" borderId="12" xfId="3" applyNumberFormat="1" applyFont="1" applyFill="1" applyBorder="1" applyAlignment="1">
      <alignment horizontal="center" vertical="center"/>
    </xf>
    <xf numFmtId="167" fontId="26" fillId="0" borderId="22" xfId="3" applyNumberFormat="1" applyFont="1" applyFill="1" applyBorder="1" applyAlignment="1">
      <alignment horizontal="center" vertical="center"/>
    </xf>
    <xf numFmtId="164" fontId="26" fillId="0" borderId="16" xfId="1" applyNumberFormat="1" applyFont="1" applyFill="1" applyBorder="1" applyAlignment="1">
      <alignment horizontal="center" vertical="center"/>
    </xf>
    <xf numFmtId="164" fontId="26" fillId="0" borderId="9" xfId="1" applyNumberFormat="1" applyFont="1" applyFill="1" applyBorder="1" applyAlignment="1">
      <alignment horizontal="center" vertical="center"/>
    </xf>
    <xf numFmtId="164" fontId="26" fillId="0" borderId="17" xfId="1" applyNumberFormat="1" applyFont="1" applyFill="1" applyBorder="1" applyAlignment="1">
      <alignment horizontal="center" vertical="center"/>
    </xf>
    <xf numFmtId="164" fontId="26" fillId="0" borderId="25" xfId="1" applyNumberFormat="1" applyFont="1" applyFill="1" applyBorder="1" applyAlignment="1">
      <alignment horizontal="center" vertical="center"/>
    </xf>
    <xf numFmtId="164" fontId="26" fillId="0" borderId="0" xfId="1" applyNumberFormat="1" applyFont="1" applyFill="1" applyBorder="1" applyAlignment="1">
      <alignment horizontal="center" vertical="center"/>
    </xf>
    <xf numFmtId="164" fontId="26" fillId="0" borderId="18" xfId="1" applyNumberFormat="1" applyFont="1" applyFill="1" applyBorder="1" applyAlignment="1">
      <alignment horizontal="center" vertical="center"/>
    </xf>
    <xf numFmtId="164" fontId="25" fillId="0" borderId="1" xfId="1" applyNumberFormat="1" applyFont="1" applyFill="1" applyBorder="1" applyAlignment="1">
      <alignment horizontal="center" vertical="center"/>
    </xf>
    <xf numFmtId="164" fontId="26" fillId="0" borderId="21" xfId="1" applyNumberFormat="1" applyFont="1" applyFill="1" applyBorder="1" applyAlignment="1">
      <alignment horizontal="center" vertical="center"/>
    </xf>
    <xf numFmtId="164" fontId="26" fillId="0" borderId="12" xfId="1" applyNumberFormat="1" applyFont="1" applyFill="1" applyBorder="1" applyAlignment="1">
      <alignment horizontal="center" vertical="center"/>
    </xf>
    <xf numFmtId="164" fontId="26" fillId="0" borderId="22" xfId="1" applyNumberFormat="1" applyFont="1" applyFill="1" applyBorder="1" applyAlignment="1">
      <alignment horizontal="center" vertical="center"/>
    </xf>
    <xf numFmtId="3" fontId="18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71" fontId="30" fillId="0" borderId="0" xfId="3" applyNumberFormat="1" applyFont="1" applyFill="1" applyBorder="1" applyAlignment="1">
      <alignment vertical="center"/>
    </xf>
    <xf numFmtId="171" fontId="34" fillId="0" borderId="0" xfId="1" applyNumberFormat="1" applyFont="1" applyFill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44" fontId="19" fillId="4" borderId="1" xfId="0" applyNumberFormat="1" applyFont="1" applyFill="1" applyBorder="1" applyAlignment="1">
      <alignment horizontal="center" vertical="center"/>
    </xf>
    <xf numFmtId="44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/>
    </xf>
    <xf numFmtId="166" fontId="18" fillId="0" borderId="7" xfId="0" applyNumberFormat="1" applyFont="1" applyBorder="1"/>
    <xf numFmtId="10" fontId="18" fillId="0" borderId="7" xfId="0" applyNumberFormat="1" applyFont="1" applyBorder="1" applyAlignment="1">
      <alignment horizontal="center"/>
    </xf>
    <xf numFmtId="10" fontId="14" fillId="0" borderId="7" xfId="0" applyNumberFormat="1" applyFont="1" applyBorder="1" applyAlignment="1">
      <alignment horizontal="center"/>
    </xf>
    <xf numFmtId="0" fontId="9" fillId="3" borderId="26" xfId="0" applyFont="1" applyFill="1" applyBorder="1" applyAlignment="1">
      <alignment horizontal="center" vertical="center" wrapText="1"/>
    </xf>
    <xf numFmtId="10" fontId="9" fillId="3" borderId="26" xfId="0" applyNumberFormat="1" applyFont="1" applyFill="1" applyBorder="1" applyAlignment="1">
      <alignment horizontal="center" vertical="center" wrapText="1"/>
    </xf>
    <xf numFmtId="10" fontId="10" fillId="0" borderId="7" xfId="0" applyNumberFormat="1" applyFont="1" applyBorder="1" applyAlignment="1">
      <alignment horizontal="center"/>
    </xf>
    <xf numFmtId="166" fontId="9" fillId="3" borderId="26" xfId="0" applyNumberFormat="1" applyFont="1" applyFill="1" applyBorder="1" applyAlignment="1">
      <alignment horizontal="center" vertical="center"/>
    </xf>
    <xf numFmtId="166" fontId="10" fillId="0" borderId="7" xfId="0" applyNumberFormat="1" applyFont="1" applyBorder="1"/>
    <xf numFmtId="10" fontId="10" fillId="0" borderId="7" xfId="1" applyNumberFormat="1" applyFont="1" applyBorder="1" applyAlignment="1">
      <alignment horizontal="center" vertical="center"/>
    </xf>
    <xf numFmtId="10" fontId="18" fillId="0" borderId="7" xfId="1" applyNumberFormat="1" applyFont="1" applyBorder="1" applyAlignment="1">
      <alignment horizontal="center"/>
    </xf>
    <xf numFmtId="10" fontId="10" fillId="0" borderId="7" xfId="1" applyNumberFormat="1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165" fontId="18" fillId="0" borderId="7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44" fontId="9" fillId="3" borderId="26" xfId="0" applyNumberFormat="1" applyFont="1" applyFill="1" applyBorder="1" applyAlignment="1">
      <alignment horizontal="center" vertical="center" wrapText="1"/>
    </xf>
    <xf numFmtId="15" fontId="10" fillId="0" borderId="7" xfId="0" applyNumberFormat="1" applyFont="1" applyBorder="1" applyAlignment="1">
      <alignment horizontal="left"/>
    </xf>
    <xf numFmtId="44" fontId="13" fillId="3" borderId="26" xfId="0" applyNumberFormat="1" applyFont="1" applyFill="1" applyBorder="1" applyAlignment="1">
      <alignment horizontal="center" vertical="center" wrapText="1"/>
    </xf>
    <xf numFmtId="166" fontId="14" fillId="0" borderId="7" xfId="0" applyNumberFormat="1" applyFont="1" applyBorder="1"/>
    <xf numFmtId="44" fontId="10" fillId="0" borderId="7" xfId="0" applyNumberFormat="1" applyFont="1" applyBorder="1" applyAlignment="1">
      <alignment horizontal="center"/>
    </xf>
    <xf numFmtId="10" fontId="10" fillId="0" borderId="7" xfId="0" applyNumberFormat="1" applyFont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/>
    </xf>
    <xf numFmtId="44" fontId="13" fillId="3" borderId="26" xfId="0" applyNumberFormat="1" applyFont="1" applyFill="1" applyBorder="1" applyAlignment="1">
      <alignment horizontal="center" vertical="center"/>
    </xf>
    <xf numFmtId="3" fontId="18" fillId="0" borderId="7" xfId="0" applyNumberFormat="1" applyFont="1" applyBorder="1" applyAlignment="1">
      <alignment horizontal="center" vertical="center"/>
    </xf>
    <xf numFmtId="10" fontId="18" fillId="0" borderId="7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/>
    </xf>
    <xf numFmtId="0" fontId="0" fillId="0" borderId="2" xfId="0" applyBorder="1"/>
    <xf numFmtId="0" fontId="9" fillId="3" borderId="31" xfId="0" applyFont="1" applyFill="1" applyBorder="1" applyAlignment="1">
      <alignment horizontal="center" vertical="center"/>
    </xf>
    <xf numFmtId="0" fontId="1" fillId="0" borderId="0" xfId="0" applyFont="1"/>
    <xf numFmtId="0" fontId="1" fillId="0" borderId="8" xfId="0" applyFont="1" applyBorder="1"/>
    <xf numFmtId="10" fontId="1" fillId="0" borderId="7" xfId="1" applyNumberFormat="1" applyFon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10" fontId="18" fillId="0" borderId="0" xfId="0" applyNumberFormat="1" applyFont="1" applyAlignment="1">
      <alignment horizontal="right"/>
    </xf>
    <xf numFmtId="44" fontId="9" fillId="0" borderId="41" xfId="0" applyNumberFormat="1" applyFont="1" applyBorder="1"/>
    <xf numFmtId="44" fontId="9" fillId="0" borderId="41" xfId="0" applyNumberFormat="1" applyFont="1" applyBorder="1" applyAlignment="1">
      <alignment horizontal="center"/>
    </xf>
    <xf numFmtId="10" fontId="9" fillId="0" borderId="41" xfId="1" applyNumberFormat="1" applyFont="1" applyBorder="1" applyAlignment="1">
      <alignment horizontal="center"/>
    </xf>
    <xf numFmtId="166" fontId="9" fillId="0" borderId="41" xfId="0" applyNumberFormat="1" applyFont="1" applyBorder="1" applyAlignment="1">
      <alignment horizontal="center"/>
    </xf>
    <xf numFmtId="10" fontId="9" fillId="0" borderId="41" xfId="0" applyNumberFormat="1" applyFont="1" applyBorder="1" applyAlignment="1">
      <alignment horizontal="center"/>
    </xf>
    <xf numFmtId="166" fontId="9" fillId="0" borderId="41" xfId="0" applyNumberFormat="1" applyFont="1" applyBorder="1"/>
    <xf numFmtId="164" fontId="9" fillId="0" borderId="41" xfId="0" applyNumberFormat="1" applyFont="1" applyBorder="1" applyAlignment="1">
      <alignment horizontal="center"/>
    </xf>
    <xf numFmtId="0" fontId="9" fillId="0" borderId="41" xfId="0" applyFont="1" applyBorder="1" applyAlignment="1">
      <alignment horizontal="left" indent="1"/>
    </xf>
    <xf numFmtId="44" fontId="9" fillId="0" borderId="41" xfId="1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166" fontId="13" fillId="0" borderId="41" xfId="0" applyNumberFormat="1" applyFont="1" applyBorder="1"/>
    <xf numFmtId="44" fontId="13" fillId="0" borderId="41" xfId="0" applyNumberFormat="1" applyFont="1" applyBorder="1" applyAlignment="1">
      <alignment horizontal="center"/>
    </xf>
    <xf numFmtId="166" fontId="9" fillId="0" borderId="41" xfId="0" applyNumberFormat="1" applyFont="1" applyBorder="1" applyAlignment="1">
      <alignment horizontal="left"/>
    </xf>
    <xf numFmtId="10" fontId="18" fillId="0" borderId="0" xfId="1" applyNumberFormat="1" applyFont="1" applyAlignment="1">
      <alignment horizontal="right"/>
    </xf>
    <xf numFmtId="3" fontId="18" fillId="0" borderId="7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7" fontId="26" fillId="0" borderId="0" xfId="4" applyNumberFormat="1" applyFont="1" applyAlignment="1">
      <alignment vertical="center"/>
    </xf>
    <xf numFmtId="172" fontId="38" fillId="0" borderId="0" xfId="0" applyNumberFormat="1" applyFont="1" applyAlignment="1">
      <alignment horizontal="right"/>
    </xf>
    <xf numFmtId="171" fontId="14" fillId="0" borderId="0" xfId="4" applyNumberFormat="1" applyFont="1" applyAlignment="1">
      <alignment horizontal="right" vertical="center"/>
    </xf>
    <xf numFmtId="0" fontId="0" fillId="0" borderId="0" xfId="0" applyAlignment="1">
      <alignment vertical="center" wrapText="1"/>
    </xf>
    <xf numFmtId="167" fontId="25" fillId="3" borderId="31" xfId="5" applyNumberFormat="1" applyFont="1" applyFill="1" applyBorder="1" applyAlignment="1">
      <alignment horizontal="center" vertical="center"/>
    </xf>
    <xf numFmtId="172" fontId="38" fillId="0" borderId="2" xfId="0" applyNumberFormat="1" applyFont="1" applyBorder="1" applyAlignment="1">
      <alignment horizontal="right"/>
    </xf>
    <xf numFmtId="171" fontId="26" fillId="0" borderId="2" xfId="4" applyNumberFormat="1" applyFont="1" applyBorder="1" applyAlignment="1">
      <alignment horizontal="right" vertical="center"/>
    </xf>
    <xf numFmtId="0" fontId="26" fillId="0" borderId="2" xfId="4" applyFont="1" applyBorder="1" applyAlignment="1">
      <alignment horizontal="left" vertical="center" indent="1"/>
    </xf>
    <xf numFmtId="167" fontId="26" fillId="0" borderId="2" xfId="4" applyNumberFormat="1" applyFont="1" applyBorder="1" applyAlignment="1">
      <alignment horizontal="right" vertical="center"/>
    </xf>
    <xf numFmtId="0" fontId="11" fillId="0" borderId="1" xfId="2" applyBorder="1" applyAlignment="1">
      <alignment horizontal="left" vertical="center"/>
    </xf>
    <xf numFmtId="3" fontId="0" fillId="0" borderId="0" xfId="0" applyNumberFormat="1"/>
    <xf numFmtId="1" fontId="18" fillId="0" borderId="0" xfId="0" applyNumberFormat="1" applyFont="1" applyAlignment="1">
      <alignment horizontal="right" vertic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wrapText="1"/>
    </xf>
    <xf numFmtId="0" fontId="10" fillId="0" borderId="2" xfId="0" applyFont="1" applyBorder="1"/>
    <xf numFmtId="10" fontId="10" fillId="0" borderId="4" xfId="0" applyNumberFormat="1" applyFont="1" applyBorder="1" applyAlignment="1">
      <alignment horizontal="center"/>
    </xf>
    <xf numFmtId="10" fontId="10" fillId="0" borderId="5" xfId="0" applyNumberFormat="1" applyFont="1" applyBorder="1" applyAlignment="1">
      <alignment horizontal="center"/>
    </xf>
    <xf numFmtId="0" fontId="9" fillId="3" borderId="2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/>
    </xf>
    <xf numFmtId="0" fontId="10" fillId="0" borderId="7" xfId="0" applyFont="1" applyBorder="1"/>
    <xf numFmtId="0" fontId="9" fillId="3" borderId="26" xfId="0" applyFont="1" applyFill="1" applyBorder="1" applyAlignment="1">
      <alignment horizontal="left" vertical="center" wrapText="1"/>
    </xf>
    <xf numFmtId="0" fontId="9" fillId="0" borderId="41" xfId="0" applyFont="1" applyBorder="1" applyAlignment="1">
      <alignment horizontal="left"/>
    </xf>
    <xf numFmtId="44" fontId="9" fillId="3" borderId="26" xfId="0" applyNumberFormat="1" applyFont="1" applyFill="1" applyBorder="1" applyAlignment="1">
      <alignment horizontal="left" vertical="center"/>
    </xf>
    <xf numFmtId="15" fontId="15" fillId="3" borderId="26" xfId="0" applyNumberFormat="1" applyFont="1" applyFill="1" applyBorder="1" applyAlignment="1">
      <alignment horizontal="center" vertical="center" wrapText="1"/>
    </xf>
    <xf numFmtId="0" fontId="35" fillId="7" borderId="0" xfId="0" applyFont="1" applyFill="1" applyAlignment="1">
      <alignment horizontal="center" vertical="center" wrapText="1"/>
    </xf>
    <xf numFmtId="0" fontId="10" fillId="0" borderId="7" xfId="0" applyFont="1" applyBorder="1" applyAlignment="1">
      <alignment wrapText="1"/>
    </xf>
    <xf numFmtId="0" fontId="9" fillId="3" borderId="2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 wrapText="1"/>
    </xf>
    <xf numFmtId="44" fontId="13" fillId="3" borderId="26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left"/>
    </xf>
    <xf numFmtId="0" fontId="10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 indent="1"/>
    </xf>
    <xf numFmtId="166" fontId="9" fillId="3" borderId="26" xfId="0" applyNumberFormat="1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left" vertical="center"/>
    </xf>
    <xf numFmtId="0" fontId="9" fillId="0" borderId="41" xfId="0" applyFont="1" applyBorder="1" applyAlignment="1">
      <alignment horizontal="left" vertical="top" indent="1"/>
    </xf>
    <xf numFmtId="10" fontId="9" fillId="3" borderId="26" xfId="0" applyNumberFormat="1" applyFont="1" applyFill="1" applyBorder="1" applyAlignment="1">
      <alignment horizontal="center" vertical="center" wrapText="1"/>
    </xf>
    <xf numFmtId="0" fontId="9" fillId="0" borderId="41" xfId="0" applyFont="1" applyBorder="1" applyAlignment="1">
      <alignment horizontal="left" indent="1"/>
    </xf>
    <xf numFmtId="0" fontId="20" fillId="3" borderId="26" xfId="0" applyFont="1" applyFill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/>
    </xf>
    <xf numFmtId="0" fontId="36" fillId="7" borderId="0" xfId="0" applyFont="1" applyFill="1" applyAlignment="1">
      <alignment horizontal="left" vertical="center" wrapText="1"/>
    </xf>
    <xf numFmtId="0" fontId="7" fillId="3" borderId="19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10" fontId="13" fillId="0" borderId="41" xfId="1" applyNumberFormat="1" applyFont="1" applyBorder="1" applyAlignment="1">
      <alignment horizontal="center" vertical="center"/>
    </xf>
    <xf numFmtId="10" fontId="13" fillId="0" borderId="2" xfId="0" applyNumberFormat="1" applyFont="1" applyBorder="1" applyAlignment="1">
      <alignment horizontal="center" vertical="center"/>
    </xf>
    <xf numFmtId="44" fontId="13" fillId="0" borderId="4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indent="1"/>
    </xf>
    <xf numFmtId="0" fontId="13" fillId="0" borderId="41" xfId="0" applyFont="1" applyBorder="1" applyAlignment="1">
      <alignment horizontal="left" vertical="center" indent="1"/>
    </xf>
    <xf numFmtId="166" fontId="13" fillId="0" borderId="2" xfId="0" applyNumberFormat="1" applyFont="1" applyBorder="1" applyAlignment="1">
      <alignment horizontal="center" vertical="center"/>
    </xf>
    <xf numFmtId="166" fontId="13" fillId="0" borderId="41" xfId="0" applyNumberFormat="1" applyFont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 wrapText="1"/>
    </xf>
    <xf numFmtId="44" fontId="9" fillId="3" borderId="26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vertical="center" wrapText="1"/>
    </xf>
    <xf numFmtId="49" fontId="9" fillId="0" borderId="41" xfId="0" applyNumberFormat="1" applyFont="1" applyBorder="1" applyAlignment="1">
      <alignment horizontal="left" indent="1"/>
    </xf>
    <xf numFmtId="0" fontId="10" fillId="0" borderId="6" xfId="0" applyFont="1" applyBorder="1"/>
    <xf numFmtId="0" fontId="13" fillId="3" borderId="26" xfId="0" applyFont="1" applyFill="1" applyBorder="1" applyAlignment="1">
      <alignment horizontal="left" vertical="center" wrapText="1"/>
    </xf>
    <xf numFmtId="49" fontId="9" fillId="3" borderId="26" xfId="0" applyNumberFormat="1" applyFont="1" applyFill="1" applyBorder="1" applyAlignment="1">
      <alignment horizontal="left" vertical="center"/>
    </xf>
    <xf numFmtId="49" fontId="10" fillId="0" borderId="2" xfId="0" applyNumberFormat="1" applyFont="1" applyBorder="1" applyAlignment="1">
      <alignment vertical="center"/>
    </xf>
    <xf numFmtId="49" fontId="10" fillId="0" borderId="7" xfId="0" applyNumberFormat="1" applyFont="1" applyBorder="1" applyAlignment="1">
      <alignment vertical="center"/>
    </xf>
    <xf numFmtId="10" fontId="20" fillId="0" borderId="2" xfId="0" applyNumberFormat="1" applyFont="1" applyBorder="1" applyAlignment="1">
      <alignment horizontal="center" vertical="center"/>
    </xf>
    <xf numFmtId="44" fontId="9" fillId="3" borderId="26" xfId="0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left" vertical="center"/>
    </xf>
    <xf numFmtId="0" fontId="14" fillId="0" borderId="2" xfId="0" applyFont="1" applyBorder="1"/>
    <xf numFmtId="0" fontId="13" fillId="0" borderId="41" xfId="0" applyFont="1" applyBorder="1" applyAlignment="1">
      <alignment horizontal="left" indent="1"/>
    </xf>
    <xf numFmtId="10" fontId="9" fillId="0" borderId="6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10" fontId="20" fillId="0" borderId="6" xfId="0" applyNumberFormat="1" applyFont="1" applyBorder="1" applyAlignment="1">
      <alignment horizontal="center" vertical="center"/>
    </xf>
    <xf numFmtId="10" fontId="20" fillId="0" borderId="7" xfId="0" applyNumberFormat="1" applyFont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 wrapText="1"/>
    </xf>
    <xf numFmtId="0" fontId="9" fillId="3" borderId="36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left"/>
    </xf>
    <xf numFmtId="0" fontId="10" fillId="0" borderId="38" xfId="0" applyFont="1" applyBorder="1" applyAlignment="1">
      <alignment horizontal="left"/>
    </xf>
    <xf numFmtId="10" fontId="9" fillId="0" borderId="2" xfId="0" applyNumberFormat="1" applyFont="1" applyBorder="1" applyAlignment="1">
      <alignment horizontal="center" vertical="center"/>
    </xf>
    <xf numFmtId="49" fontId="9" fillId="3" borderId="26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4" fillId="0" borderId="7" xfId="0" applyFont="1" applyBorder="1"/>
    <xf numFmtId="0" fontId="9" fillId="0" borderId="42" xfId="0" applyFont="1" applyBorder="1" applyAlignment="1">
      <alignment horizontal="left" indent="1"/>
    </xf>
    <xf numFmtId="0" fontId="9" fillId="0" borderId="43" xfId="0" applyFont="1" applyBorder="1" applyAlignment="1">
      <alignment horizontal="left" indent="1"/>
    </xf>
    <xf numFmtId="0" fontId="10" fillId="0" borderId="4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3" fillId="3" borderId="3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9" fontId="13" fillId="0" borderId="2" xfId="0" applyNumberFormat="1" applyFont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44" fontId="9" fillId="3" borderId="27" xfId="0" applyNumberFormat="1" applyFont="1" applyFill="1" applyBorder="1" applyAlignment="1">
      <alignment horizontal="left" vertical="center"/>
    </xf>
    <xf numFmtId="44" fontId="9" fillId="3" borderId="28" xfId="0" applyNumberFormat="1" applyFont="1" applyFill="1" applyBorder="1" applyAlignment="1">
      <alignment horizontal="left" vertical="center"/>
    </xf>
    <xf numFmtId="44" fontId="9" fillId="3" borderId="39" xfId="0" applyNumberFormat="1" applyFont="1" applyFill="1" applyBorder="1" applyAlignment="1">
      <alignment horizontal="left" vertical="center"/>
    </xf>
    <xf numFmtId="44" fontId="9" fillId="3" borderId="40" xfId="0" applyNumberFormat="1" applyFont="1" applyFill="1" applyBorder="1" applyAlignment="1">
      <alignment horizontal="left" vertical="center"/>
    </xf>
    <xf numFmtId="0" fontId="15" fillId="3" borderId="31" xfId="0" applyFont="1" applyFill="1" applyBorder="1" applyAlignment="1">
      <alignment horizontal="center" vertical="center" wrapText="1"/>
    </xf>
    <xf numFmtId="0" fontId="15" fillId="3" borderId="36" xfId="0" applyFont="1" applyFill="1" applyBorder="1" applyAlignment="1">
      <alignment horizontal="center" vertical="center" wrapText="1"/>
    </xf>
    <xf numFmtId="0" fontId="15" fillId="3" borderId="31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10" fontId="9" fillId="0" borderId="0" xfId="1" applyNumberFormat="1" applyFont="1" applyFill="1" applyAlignment="1">
      <alignment horizontal="left"/>
    </xf>
    <xf numFmtId="0" fontId="0" fillId="0" borderId="0" xfId="0"/>
    <xf numFmtId="10" fontId="9" fillId="0" borderId="0" xfId="1" applyNumberFormat="1" applyFont="1" applyAlignment="1">
      <alignment horizontal="left"/>
    </xf>
    <xf numFmtId="0" fontId="13" fillId="3" borderId="2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  <xf numFmtId="3" fontId="10" fillId="0" borderId="0" xfId="0" applyNumberFormat="1" applyFont="1"/>
    <xf numFmtId="0" fontId="10" fillId="0" borderId="0" xfId="0" applyFont="1"/>
    <xf numFmtId="167" fontId="10" fillId="0" borderId="0" xfId="0" applyNumberFormat="1" applyFont="1" applyAlignment="1">
      <alignment horizontal="right"/>
    </xf>
    <xf numFmtId="3" fontId="10" fillId="0" borderId="9" xfId="0" applyNumberFormat="1" applyFont="1" applyBorder="1"/>
    <xf numFmtId="0" fontId="10" fillId="0" borderId="9" xfId="0" applyFont="1" applyBorder="1"/>
    <xf numFmtId="3" fontId="10" fillId="0" borderId="0" xfId="0" applyNumberFormat="1" applyFont="1" applyAlignment="1">
      <alignment horizontal="right"/>
    </xf>
    <xf numFmtId="0" fontId="13" fillId="3" borderId="2" xfId="0" applyFont="1" applyFill="1" applyBorder="1" applyAlignment="1">
      <alignment horizontal="left" wrapText="1"/>
    </xf>
    <xf numFmtId="168" fontId="26" fillId="0" borderId="2" xfId="1" applyNumberFormat="1" applyFont="1" applyFill="1" applyBorder="1" applyAlignment="1">
      <alignment horizontal="center" vertical="center"/>
    </xf>
    <xf numFmtId="168" fontId="10" fillId="0" borderId="2" xfId="1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left" vertical="center" wrapText="1"/>
    </xf>
    <xf numFmtId="0" fontId="13" fillId="3" borderId="31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33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indent="1"/>
    </xf>
    <xf numFmtId="0" fontId="9" fillId="0" borderId="5" xfId="0" applyFont="1" applyBorder="1" applyAlignment="1">
      <alignment horizontal="left" indent="1"/>
    </xf>
    <xf numFmtId="0" fontId="27" fillId="3" borderId="27" xfId="0" applyFont="1" applyFill="1" applyBorder="1" applyAlignment="1">
      <alignment horizontal="center" vertical="center"/>
    </xf>
    <xf numFmtId="0" fontId="27" fillId="3" borderId="28" xfId="0" applyFont="1" applyFill="1" applyBorder="1" applyAlignment="1">
      <alignment horizontal="center" vertical="center"/>
    </xf>
    <xf numFmtId="0" fontId="27" fillId="3" borderId="29" xfId="0" applyFont="1" applyFill="1" applyBorder="1" applyAlignment="1">
      <alignment horizontal="center" vertical="center"/>
    </xf>
    <xf numFmtId="0" fontId="27" fillId="3" borderId="30" xfId="0" applyFont="1" applyFill="1" applyBorder="1" applyAlignment="1">
      <alignment horizontal="center" vertical="center"/>
    </xf>
    <xf numFmtId="0" fontId="27" fillId="3" borderId="34" xfId="0" applyFont="1" applyFill="1" applyBorder="1" applyAlignment="1">
      <alignment horizontal="center" vertical="center"/>
    </xf>
    <xf numFmtId="0" fontId="27" fillId="3" borderId="3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indent="1"/>
    </xf>
    <xf numFmtId="171" fontId="28" fillId="0" borderId="2" xfId="1" applyNumberFormat="1" applyFont="1" applyFill="1" applyBorder="1" applyAlignment="1">
      <alignment horizontal="center" vertical="center"/>
    </xf>
    <xf numFmtId="2" fontId="26" fillId="0" borderId="2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center" vertical="center" textRotation="90"/>
    </xf>
    <xf numFmtId="0" fontId="3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9" fillId="0" borderId="8" xfId="0" applyFont="1" applyBorder="1" applyAlignment="1">
      <alignment horizontal="left"/>
    </xf>
    <xf numFmtId="0" fontId="3" fillId="0" borderId="0" xfId="0" applyFont="1"/>
    <xf numFmtId="0" fontId="13" fillId="3" borderId="46" xfId="5" applyFont="1" applyFill="1" applyBorder="1" applyAlignment="1">
      <alignment horizontal="center" vertical="center"/>
    </xf>
    <xf numFmtId="0" fontId="13" fillId="3" borderId="47" xfId="5" applyFont="1" applyFill="1" applyBorder="1" applyAlignment="1">
      <alignment horizontal="center" vertical="center"/>
    </xf>
    <xf numFmtId="0" fontId="13" fillId="3" borderId="48" xfId="5" applyFont="1" applyFill="1" applyBorder="1" applyAlignment="1">
      <alignment horizontal="center" vertical="center"/>
    </xf>
    <xf numFmtId="0" fontId="13" fillId="3" borderId="26" xfId="5" applyFont="1" applyFill="1" applyBorder="1" applyAlignment="1">
      <alignment horizontal="left" vertical="center"/>
    </xf>
    <xf numFmtId="0" fontId="13" fillId="3" borderId="31" xfId="5" applyFont="1" applyFill="1" applyBorder="1" applyAlignment="1">
      <alignment horizontal="left" vertical="center"/>
    </xf>
    <xf numFmtId="0" fontId="25" fillId="3" borderId="26" xfId="4" applyFont="1" applyFill="1" applyBorder="1" applyAlignment="1">
      <alignment horizontal="center" vertical="center" wrapText="1"/>
    </xf>
    <xf numFmtId="0" fontId="25" fillId="3" borderId="31" xfId="4" applyFont="1" applyFill="1" applyBorder="1" applyAlignment="1">
      <alignment horizontal="center" vertical="center" wrapText="1"/>
    </xf>
    <xf numFmtId="167" fontId="25" fillId="3" borderId="26" xfId="4" applyNumberFormat="1" applyFont="1" applyFill="1" applyBorder="1" applyAlignment="1">
      <alignment horizontal="center" vertical="center"/>
    </xf>
    <xf numFmtId="167" fontId="25" fillId="3" borderId="31" xfId="4" applyNumberFormat="1" applyFont="1" applyFill="1" applyBorder="1" applyAlignment="1">
      <alignment horizontal="center" vertical="center"/>
    </xf>
    <xf numFmtId="0" fontId="25" fillId="3" borderId="44" xfId="5" applyFont="1" applyFill="1" applyBorder="1" applyAlignment="1">
      <alignment horizontal="center" vertical="center"/>
    </xf>
    <xf numFmtId="0" fontId="25" fillId="3" borderId="45" xfId="5" applyFont="1" applyFill="1" applyBorder="1" applyAlignment="1">
      <alignment horizontal="center" vertical="center"/>
    </xf>
    <xf numFmtId="1" fontId="3" fillId="0" borderId="0" xfId="0" applyNumberFormat="1" applyFont="1"/>
  </cellXfs>
  <cellStyles count="6">
    <cellStyle name="Comma" xfId="3" builtinId="3"/>
    <cellStyle name="Hyperlink" xfId="2" builtinId="8"/>
    <cellStyle name="Normal" xfId="0" builtinId="0"/>
    <cellStyle name="Normal 2 2 2" xfId="4" xr:uid="{6C330474-EF08-4E24-AA62-250365F1DA64}"/>
    <cellStyle name="Normal_Master Junior Database v2" xfId="5" xr:uid="{AD19C587-8A0B-4B19-93DB-3D07E1143F27}"/>
    <cellStyle name="Per cent" xfId="1" builtinId="5"/>
  </cellStyles>
  <dxfs count="9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D27D00"/>
      </font>
      <fill>
        <patternFill>
          <bgColor rgb="FFFFBB7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2060"/>
      <color rgb="FFD27D00"/>
      <color rgb="FF215967"/>
      <color rgb="FF4ED64E"/>
      <color rgb="FF009604"/>
      <color rgb="FFFFBB71"/>
      <color rgb="FF1EBBCC"/>
      <color rgb="FF047E10"/>
      <color rgb="FF930336"/>
      <color rgb="FFC050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Performance Since Inception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Model!$I$106</c:f>
              <c:strCache>
                <c:ptCount val="1"/>
                <c:pt idx="0">
                  <c:v>BCI Portfolio </c:v>
                </c:pt>
              </c:strCache>
            </c:strRef>
          </c:tx>
          <c:spPr>
            <a:ln w="22225" cap="rnd">
              <a:solidFill>
                <a:srgbClr val="047E10"/>
              </a:solidFill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Model!$B$107:$B$157</c:f>
              <c:numCache>
                <c:formatCode>mmm\-yy</c:formatCode>
                <c:ptCount val="51"/>
                <c:pt idx="0">
                  <c:v>44583</c:v>
                </c:pt>
                <c:pt idx="1">
                  <c:v>44614</c:v>
                </c:pt>
                <c:pt idx="2">
                  <c:v>44642</c:v>
                </c:pt>
                <c:pt idx="3">
                  <c:v>44673</c:v>
                </c:pt>
                <c:pt idx="4">
                  <c:v>44703</c:v>
                </c:pt>
                <c:pt idx="5">
                  <c:v>44734</c:v>
                </c:pt>
                <c:pt idx="6">
                  <c:v>44764</c:v>
                </c:pt>
                <c:pt idx="7">
                  <c:v>44795</c:v>
                </c:pt>
                <c:pt idx="8">
                  <c:v>44826</c:v>
                </c:pt>
                <c:pt idx="9">
                  <c:v>44856</c:v>
                </c:pt>
                <c:pt idx="10">
                  <c:v>44887</c:v>
                </c:pt>
                <c:pt idx="11">
                  <c:v>44917</c:v>
                </c:pt>
                <c:pt idx="12">
                  <c:v>44948</c:v>
                </c:pt>
                <c:pt idx="13">
                  <c:v>44979</c:v>
                </c:pt>
                <c:pt idx="14">
                  <c:v>45007</c:v>
                </c:pt>
                <c:pt idx="15">
                  <c:v>45038</c:v>
                </c:pt>
                <c:pt idx="16">
                  <c:v>45068</c:v>
                </c:pt>
                <c:pt idx="17">
                  <c:v>45099</c:v>
                </c:pt>
                <c:pt idx="18">
                  <c:v>45129</c:v>
                </c:pt>
                <c:pt idx="19">
                  <c:v>45160</c:v>
                </c:pt>
                <c:pt idx="20">
                  <c:v>45191</c:v>
                </c:pt>
                <c:pt idx="21">
                  <c:v>45221</c:v>
                </c:pt>
                <c:pt idx="22">
                  <c:v>45252</c:v>
                </c:pt>
                <c:pt idx="23">
                  <c:v>45282</c:v>
                </c:pt>
                <c:pt idx="24">
                  <c:v>45313</c:v>
                </c:pt>
                <c:pt idx="25">
                  <c:v>45344</c:v>
                </c:pt>
                <c:pt idx="26">
                  <c:v>45373</c:v>
                </c:pt>
                <c:pt idx="27">
                  <c:v>45404</c:v>
                </c:pt>
                <c:pt idx="28">
                  <c:v>45434</c:v>
                </c:pt>
                <c:pt idx="29">
                  <c:v>45465</c:v>
                </c:pt>
                <c:pt idx="30">
                  <c:v>45495</c:v>
                </c:pt>
                <c:pt idx="31">
                  <c:v>45526</c:v>
                </c:pt>
                <c:pt idx="32">
                  <c:v>45557</c:v>
                </c:pt>
                <c:pt idx="33">
                  <c:v>45587</c:v>
                </c:pt>
                <c:pt idx="34">
                  <c:v>45618</c:v>
                </c:pt>
                <c:pt idx="35">
                  <c:v>45648</c:v>
                </c:pt>
                <c:pt idx="36">
                  <c:v>45679</c:v>
                </c:pt>
                <c:pt idx="37">
                  <c:v>45710</c:v>
                </c:pt>
                <c:pt idx="38">
                  <c:v>45738</c:v>
                </c:pt>
                <c:pt idx="39">
                  <c:v>45769</c:v>
                </c:pt>
                <c:pt idx="40">
                  <c:v>45799</c:v>
                </c:pt>
                <c:pt idx="41">
                  <c:v>45830</c:v>
                </c:pt>
                <c:pt idx="42">
                  <c:v>45860</c:v>
                </c:pt>
                <c:pt idx="43">
                  <c:v>45891</c:v>
                </c:pt>
                <c:pt idx="44">
                  <c:v>45922</c:v>
                </c:pt>
                <c:pt idx="45">
                  <c:v>45952</c:v>
                </c:pt>
                <c:pt idx="46">
                  <c:v>45983</c:v>
                </c:pt>
                <c:pt idx="47">
                  <c:v>46013</c:v>
                </c:pt>
                <c:pt idx="48">
                  <c:v>46044</c:v>
                </c:pt>
                <c:pt idx="49">
                  <c:v>46075</c:v>
                </c:pt>
                <c:pt idx="50">
                  <c:v>46103</c:v>
                </c:pt>
              </c:numCache>
            </c:numRef>
          </c:cat>
          <c:val>
            <c:numRef>
              <c:f>Model!$I$107:$I$157</c:f>
              <c:numCache>
                <c:formatCode>0.00%</c:formatCode>
                <c:ptCount val="51"/>
                <c:pt idx="0">
                  <c:v>0</c:v>
                </c:pt>
                <c:pt idx="1">
                  <c:v>4.0000000000000036E-3</c:v>
                </c:pt>
                <c:pt idx="2">
                  <c:v>1.8487361419068815E-2</c:v>
                </c:pt>
                <c:pt idx="3">
                  <c:v>1.516389110933436E-2</c:v>
                </c:pt>
                <c:pt idx="4">
                  <c:v>2.3894274403785554E-2</c:v>
                </c:pt>
                <c:pt idx="5">
                  <c:v>6.8913305197734198E-2</c:v>
                </c:pt>
                <c:pt idx="6">
                  <c:v>7.5980640358947138E-2</c:v>
                </c:pt>
                <c:pt idx="7">
                  <c:v>8.017428326360676E-2</c:v>
                </c:pt>
                <c:pt idx="8">
                  <c:v>9.7900301210475993E-2</c:v>
                </c:pt>
                <c:pt idx="9">
                  <c:v>0.11114000405360147</c:v>
                </c:pt>
                <c:pt idx="10">
                  <c:v>5.3792817336337673E-2</c:v>
                </c:pt>
                <c:pt idx="11">
                  <c:v>0.11373341981882612</c:v>
                </c:pt>
                <c:pt idx="12">
                  <c:v>0.13846459591891558</c:v>
                </c:pt>
                <c:pt idx="13">
                  <c:v>0.16244426549511115</c:v>
                </c:pt>
                <c:pt idx="14">
                  <c:v>0.13600150557406077</c:v>
                </c:pt>
                <c:pt idx="15">
                  <c:v>0.14726528655189208</c:v>
                </c:pt>
                <c:pt idx="16">
                  <c:v>0.16996593184006137</c:v>
                </c:pt>
                <c:pt idx="17">
                  <c:v>0.17176240518571728</c:v>
                </c:pt>
                <c:pt idx="18">
                  <c:v>0.1697947630984783</c:v>
                </c:pt>
                <c:pt idx="19">
                  <c:v>0.18973538870281093</c:v>
                </c:pt>
                <c:pt idx="20">
                  <c:v>0.19224572212229207</c:v>
                </c:pt>
                <c:pt idx="21">
                  <c:v>0.19738383366215528</c:v>
                </c:pt>
                <c:pt idx="22">
                  <c:v>0.21812622033870432</c:v>
                </c:pt>
                <c:pt idx="23">
                  <c:v>0.24606988766859372</c:v>
                </c:pt>
                <c:pt idx="24">
                  <c:v>0.27428185353076728</c:v>
                </c:pt>
                <c:pt idx="25">
                  <c:v>0.25921413680339744</c:v>
                </c:pt>
                <c:pt idx="26">
                  <c:v>0.2890143064847096</c:v>
                </c:pt>
                <c:pt idx="27">
                  <c:v>0.29088497720449624</c:v>
                </c:pt>
                <c:pt idx="28">
                  <c:v>0.2991606230038576</c:v>
                </c:pt>
                <c:pt idx="29">
                  <c:v>0.3067154875824919</c:v>
                </c:pt>
                <c:pt idx="30">
                  <c:v>0.31378634147080431</c:v>
                </c:pt>
                <c:pt idx="31">
                  <c:v>0.31028787302865046</c:v>
                </c:pt>
                <c:pt idx="32">
                  <c:v>0.33365396887504728</c:v>
                </c:pt>
                <c:pt idx="33">
                  <c:v>0.33814770875904321</c:v>
                </c:pt>
                <c:pt idx="34">
                  <c:v>0.35687108688884517</c:v>
                </c:pt>
                <c:pt idx="35">
                  <c:v>0.37791340894228531</c:v>
                </c:pt>
                <c:pt idx="36">
                  <c:v>0.4071105080571964</c:v>
                </c:pt>
                <c:pt idx="37">
                  <c:v>0.38031617895211067</c:v>
                </c:pt>
                <c:pt idx="38">
                  <c:v>0.41659917663649881</c:v>
                </c:pt>
                <c:pt idx="39">
                  <c:v>0.39744368213346903</c:v>
                </c:pt>
                <c:pt idx="40">
                  <c:v>0.4234044311459535</c:v>
                </c:pt>
                <c:pt idx="41">
                  <c:v>0.43718756789328794</c:v>
                </c:pt>
                <c:pt idx="42">
                  <c:v>0.43509335468103361</c:v>
                </c:pt>
                <c:pt idx="43">
                  <c:v>0.4536920473589261</c:v>
                </c:pt>
                <c:pt idx="44">
                  <c:v>0.45878467187140592</c:v>
                </c:pt>
                <c:pt idx="45">
                  <c:v>0.46973195063184958</c:v>
                </c:pt>
                <c:pt idx="46">
                  <c:v>0.51054457591923352</c:v>
                </c:pt>
                <c:pt idx="47">
                  <c:v>0.52446212092782685</c:v>
                </c:pt>
                <c:pt idx="48">
                  <c:v>0.54263650261473018</c:v>
                </c:pt>
                <c:pt idx="49">
                  <c:v>0.53748515071707259</c:v>
                </c:pt>
                <c:pt idx="50">
                  <c:v>0.53272671982038344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1-4ED6-A43F-3F178E423611}"/>
            </c:ext>
          </c:extLst>
        </c:ser>
        <c:ser>
          <c:idx val="1"/>
          <c:order val="1"/>
          <c:tx>
            <c:strRef>
              <c:f>Model!$J$106</c:f>
              <c:strCache>
                <c:ptCount val="1"/>
                <c:pt idx="0">
                  <c:v>Standard Bank Portfolio </c:v>
                </c:pt>
              </c:strCache>
            </c:strRef>
          </c:tx>
          <c:spPr>
            <a:ln w="22225" cap="rnd">
              <a:solidFill>
                <a:srgbClr val="002060"/>
              </a:solidFill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Model!$B$107:$B$157</c:f>
              <c:numCache>
                <c:formatCode>mmm\-yy</c:formatCode>
                <c:ptCount val="51"/>
                <c:pt idx="0">
                  <c:v>44583</c:v>
                </c:pt>
                <c:pt idx="1">
                  <c:v>44614</c:v>
                </c:pt>
                <c:pt idx="2">
                  <c:v>44642</c:v>
                </c:pt>
                <c:pt idx="3">
                  <c:v>44673</c:v>
                </c:pt>
                <c:pt idx="4">
                  <c:v>44703</c:v>
                </c:pt>
                <c:pt idx="5">
                  <c:v>44734</c:v>
                </c:pt>
                <c:pt idx="6">
                  <c:v>44764</c:v>
                </c:pt>
                <c:pt idx="7">
                  <c:v>44795</c:v>
                </c:pt>
                <c:pt idx="8">
                  <c:v>44826</c:v>
                </c:pt>
                <c:pt idx="9">
                  <c:v>44856</c:v>
                </c:pt>
                <c:pt idx="10">
                  <c:v>44887</c:v>
                </c:pt>
                <c:pt idx="11">
                  <c:v>44917</c:v>
                </c:pt>
                <c:pt idx="12">
                  <c:v>44948</c:v>
                </c:pt>
                <c:pt idx="13">
                  <c:v>44979</c:v>
                </c:pt>
                <c:pt idx="14">
                  <c:v>45007</c:v>
                </c:pt>
                <c:pt idx="15">
                  <c:v>45038</c:v>
                </c:pt>
                <c:pt idx="16">
                  <c:v>45068</c:v>
                </c:pt>
                <c:pt idx="17">
                  <c:v>45099</c:v>
                </c:pt>
                <c:pt idx="18">
                  <c:v>45129</c:v>
                </c:pt>
                <c:pt idx="19">
                  <c:v>45160</c:v>
                </c:pt>
                <c:pt idx="20">
                  <c:v>45191</c:v>
                </c:pt>
                <c:pt idx="21">
                  <c:v>45221</c:v>
                </c:pt>
                <c:pt idx="22">
                  <c:v>45252</c:v>
                </c:pt>
                <c:pt idx="23">
                  <c:v>45282</c:v>
                </c:pt>
                <c:pt idx="24">
                  <c:v>45313</c:v>
                </c:pt>
                <c:pt idx="25">
                  <c:v>45344</c:v>
                </c:pt>
                <c:pt idx="26">
                  <c:v>45373</c:v>
                </c:pt>
                <c:pt idx="27">
                  <c:v>45404</c:v>
                </c:pt>
                <c:pt idx="28">
                  <c:v>45434</c:v>
                </c:pt>
                <c:pt idx="29">
                  <c:v>45465</c:v>
                </c:pt>
                <c:pt idx="30">
                  <c:v>45495</c:v>
                </c:pt>
                <c:pt idx="31">
                  <c:v>45526</c:v>
                </c:pt>
                <c:pt idx="32">
                  <c:v>45557</c:v>
                </c:pt>
                <c:pt idx="33">
                  <c:v>45587</c:v>
                </c:pt>
                <c:pt idx="34">
                  <c:v>45618</c:v>
                </c:pt>
                <c:pt idx="35">
                  <c:v>45648</c:v>
                </c:pt>
                <c:pt idx="36">
                  <c:v>45679</c:v>
                </c:pt>
                <c:pt idx="37">
                  <c:v>45710</c:v>
                </c:pt>
                <c:pt idx="38">
                  <c:v>45738</c:v>
                </c:pt>
                <c:pt idx="39">
                  <c:v>45769</c:v>
                </c:pt>
                <c:pt idx="40">
                  <c:v>45799</c:v>
                </c:pt>
                <c:pt idx="41">
                  <c:v>45830</c:v>
                </c:pt>
                <c:pt idx="42">
                  <c:v>45860</c:v>
                </c:pt>
                <c:pt idx="43">
                  <c:v>45891</c:v>
                </c:pt>
                <c:pt idx="44">
                  <c:v>45922</c:v>
                </c:pt>
                <c:pt idx="45">
                  <c:v>45952</c:v>
                </c:pt>
                <c:pt idx="46">
                  <c:v>45983</c:v>
                </c:pt>
                <c:pt idx="47">
                  <c:v>46013</c:v>
                </c:pt>
                <c:pt idx="48">
                  <c:v>46044</c:v>
                </c:pt>
                <c:pt idx="49">
                  <c:v>46075</c:v>
                </c:pt>
                <c:pt idx="50">
                  <c:v>46103</c:v>
                </c:pt>
              </c:numCache>
            </c:numRef>
          </c:cat>
          <c:val>
            <c:numRef>
              <c:f>Model!$J$107:$J$157</c:f>
              <c:numCache>
                <c:formatCode>0.00%</c:formatCode>
                <c:ptCount val="51"/>
                <c:pt idx="0">
                  <c:v>0</c:v>
                </c:pt>
                <c:pt idx="1">
                  <c:v>9.6032727272727936E-3</c:v>
                </c:pt>
                <c:pt idx="2">
                  <c:v>2.1037945189921858E-2</c:v>
                </c:pt>
                <c:pt idx="3">
                  <c:v>2.1301062366603896E-2</c:v>
                </c:pt>
                <c:pt idx="4">
                  <c:v>3.0806123880566583E-2</c:v>
                </c:pt>
                <c:pt idx="5">
                  <c:v>6.3896775249522086E-2</c:v>
                </c:pt>
                <c:pt idx="6">
                  <c:v>7.4589552307458895E-2</c:v>
                </c:pt>
                <c:pt idx="7">
                  <c:v>2.3415462682528809E-2</c:v>
                </c:pt>
                <c:pt idx="8">
                  <c:v>9.6912636643677774E-2</c:v>
                </c:pt>
                <c:pt idx="9">
                  <c:v>0.12165474657403375</c:v>
                </c:pt>
                <c:pt idx="10">
                  <c:v>2.3809299193837008E-2</c:v>
                </c:pt>
                <c:pt idx="11">
                  <c:v>9.3328355923933293E-2</c:v>
                </c:pt>
                <c:pt idx="12">
                  <c:v>7.7551752977737531E-2</c:v>
                </c:pt>
                <c:pt idx="13">
                  <c:v>0.11292086702992143</c:v>
                </c:pt>
                <c:pt idx="14">
                  <c:v>7.8217718380923618E-2</c:v>
                </c:pt>
                <c:pt idx="15">
                  <c:v>8.7730350736158424E-2</c:v>
                </c:pt>
                <c:pt idx="16">
                  <c:v>0.12412598414898479</c:v>
                </c:pt>
                <c:pt idx="17">
                  <c:v>0.13789155535062281</c:v>
                </c:pt>
                <c:pt idx="18">
                  <c:v>9.9358947439342149E-2</c:v>
                </c:pt>
                <c:pt idx="19">
                  <c:v>0.14752978178637943</c:v>
                </c:pt>
                <c:pt idx="20">
                  <c:v>0.15854649546161803</c:v>
                </c:pt>
                <c:pt idx="21">
                  <c:v>0.16237085058499146</c:v>
                </c:pt>
                <c:pt idx="22">
                  <c:v>0.18852655922340067</c:v>
                </c:pt>
                <c:pt idx="23">
                  <c:v>0.21738430637162809</c:v>
                </c:pt>
                <c:pt idx="24">
                  <c:v>0.2375149126300562</c:v>
                </c:pt>
                <c:pt idx="25">
                  <c:v>0.2158184160479083</c:v>
                </c:pt>
                <c:pt idx="26">
                  <c:v>0.24641478291254126</c:v>
                </c:pt>
                <c:pt idx="27">
                  <c:v>0.27316058014982569</c:v>
                </c:pt>
                <c:pt idx="28">
                  <c:v>0.25623470303902618</c:v>
                </c:pt>
                <c:pt idx="29">
                  <c:v>0.26433024373065228</c:v>
                </c:pt>
                <c:pt idx="30">
                  <c:v>0.26967496083565856</c:v>
                </c:pt>
                <c:pt idx="31">
                  <c:v>0.22859506976781929</c:v>
                </c:pt>
                <c:pt idx="32">
                  <c:v>0.29133917847832869</c:v>
                </c:pt>
                <c:pt idx="33">
                  <c:v>0.29656680835473292</c:v>
                </c:pt>
                <c:pt idx="34">
                  <c:v>0.31140275869057976</c:v>
                </c:pt>
                <c:pt idx="35">
                  <c:v>0.33514205934834995</c:v>
                </c:pt>
                <c:pt idx="36">
                  <c:v>0.36549770449335572</c:v>
                </c:pt>
                <c:pt idx="37">
                  <c:v>0.33319903858515831</c:v>
                </c:pt>
                <c:pt idx="38">
                  <c:v>0.3723467513309805</c:v>
                </c:pt>
                <c:pt idx="39">
                  <c:v>0.365836503149232</c:v>
                </c:pt>
                <c:pt idx="40">
                  <c:v>0.38844279303200324</c:v>
                </c:pt>
                <c:pt idx="41">
                  <c:v>0.4029200531222813</c:v>
                </c:pt>
                <c:pt idx="42">
                  <c:v>0.38355593225110529</c:v>
                </c:pt>
                <c:pt idx="43">
                  <c:v>0.42388733053771332</c:v>
                </c:pt>
                <c:pt idx="44">
                  <c:v>0.42180242029779158</c:v>
                </c:pt>
                <c:pt idx="45">
                  <c:v>0.43860272206687345</c:v>
                </c:pt>
                <c:pt idx="46">
                  <c:v>0.45807663026500245</c:v>
                </c:pt>
                <c:pt idx="47">
                  <c:v>0.48546900790843461</c:v>
                </c:pt>
                <c:pt idx="48">
                  <c:v>0.51052049776058828</c:v>
                </c:pt>
                <c:pt idx="49">
                  <c:v>0.50836392962354093</c:v>
                </c:pt>
                <c:pt idx="50">
                  <c:v>0.49992020274340132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1-4ED6-A43F-3F178E42361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>
              <a:solidFill>
                <a:schemeClr val="bg1">
                  <a:lumMod val="75000"/>
                </a:schemeClr>
              </a:solidFill>
              <a:round/>
            </a:ln>
            <a:effectLst/>
          </c:spPr>
        </c:dropLines>
        <c:smooth val="0"/>
        <c:axId val="1194917664"/>
        <c:axId val="1194920064"/>
      </c:lineChart>
      <c:dateAx>
        <c:axId val="119491766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20064"/>
        <c:crosses val="autoZero"/>
        <c:auto val="0"/>
        <c:lblOffset val="100"/>
        <c:baseTimeUnit val="months"/>
        <c:majorUnit val="2"/>
        <c:majorTimeUnit val="months"/>
      </c:dateAx>
      <c:valAx>
        <c:axId val="11949200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17664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bg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cap="none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rPr>
              <a:t>Risk Analysis - Max Drawdown </a:t>
            </a:r>
            <a:r>
              <a:rPr lang="en-US" sz="1400" b="0" i="1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rPr>
              <a:t>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cap="none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Model!$E$84</c:f>
              <c:strCache>
                <c:ptCount val="1"/>
                <c:pt idx="0">
                  <c:v>Max Drawdown % </c:v>
                </c:pt>
              </c:strCache>
            </c:strRef>
          </c:tx>
          <c:spPr>
            <a:solidFill>
              <a:srgbClr val="00B0F0"/>
            </a:solidFill>
            <a:ln w="9525" cap="flat" cmpd="sng" algn="ctr">
              <a:solidFill>
                <a:srgbClr val="002060"/>
              </a:solidFill>
              <a:miter lim="800000"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Model!$B$86:$C$99</c:f>
              <c:strCache>
                <c:ptCount val="14"/>
                <c:pt idx="0">
                  <c:v>Blue Alpha Global Equity Fund </c:v>
                </c:pt>
                <c:pt idx="1">
                  <c:v>Granate BCI Balanced Fund </c:v>
                </c:pt>
                <c:pt idx="2">
                  <c:v>BCI Flexible Instit Fund </c:v>
                </c:pt>
                <c:pt idx="3">
                  <c:v>Investment Y</c:v>
                </c:pt>
                <c:pt idx="4">
                  <c:v>Fairtree Income Plus Fund </c:v>
                </c:pt>
                <c:pt idx="5">
                  <c:v>Investment X</c:v>
                </c:pt>
                <c:pt idx="6">
                  <c:v>Investment Z</c:v>
                </c:pt>
                <c:pt idx="7">
                  <c:v>NewGold ETF</c:v>
                </c:pt>
                <c:pt idx="8">
                  <c:v>Satrix MSCI World Feeder ETF</c:v>
                </c:pt>
                <c:pt idx="9">
                  <c:v>10X S&amp;P 500 Index Feeder ETF</c:v>
                </c:pt>
                <c:pt idx="10">
                  <c:v>Investment A</c:v>
                </c:pt>
                <c:pt idx="11">
                  <c:v>Satrix Fini ETF</c:v>
                </c:pt>
                <c:pt idx="12">
                  <c:v>Satrix Rafi 40 ETF</c:v>
                </c:pt>
                <c:pt idx="13">
                  <c:v>1nvest MSCI EM Asia Index ETF</c:v>
                </c:pt>
              </c:strCache>
            </c:strRef>
          </c:cat>
          <c:val>
            <c:numRef>
              <c:f>Model!$E$86:$E$99</c:f>
              <c:numCache>
                <c:formatCode>0.00%</c:formatCode>
                <c:ptCount val="14"/>
                <c:pt idx="0">
                  <c:v>-0.14299999999999999</c:v>
                </c:pt>
                <c:pt idx="1">
                  <c:v>-3.3000000000000002E-2</c:v>
                </c:pt>
                <c:pt idx="2">
                  <c:v>-7.2599999999999998E-2</c:v>
                </c:pt>
                <c:pt idx="3">
                  <c:v>-2.4E-2</c:v>
                </c:pt>
                <c:pt idx="4">
                  <c:v>-5.0000000000000001E-3</c:v>
                </c:pt>
                <c:pt idx="5">
                  <c:v>-2.01E-2</c:v>
                </c:pt>
                <c:pt idx="6">
                  <c:v>-0.18</c:v>
                </c:pt>
                <c:pt idx="7">
                  <c:v>-0.27789999999999998</c:v>
                </c:pt>
                <c:pt idx="8">
                  <c:v>-0.191</c:v>
                </c:pt>
                <c:pt idx="9">
                  <c:v>-0.184</c:v>
                </c:pt>
                <c:pt idx="10">
                  <c:v>-0.129</c:v>
                </c:pt>
                <c:pt idx="11">
                  <c:v>-0.5</c:v>
                </c:pt>
                <c:pt idx="12">
                  <c:v>-0.33</c:v>
                </c:pt>
                <c:pt idx="13">
                  <c:v>-0.12859999999999999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D8-4D73-8B18-DDF4C45D33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194917664"/>
        <c:axId val="1194920064"/>
      </c:barChart>
      <c:dateAx>
        <c:axId val="119491766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high"/>
        <c:spPr>
          <a:noFill/>
          <a:ln w="12700">
            <a:solidFill>
              <a:schemeClr val="tx1"/>
            </a:solidFill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20064"/>
        <c:crosses val="autoZero"/>
        <c:auto val="0"/>
        <c:lblOffset val="100"/>
        <c:baseTimeUnit val="months"/>
        <c:majorUnit val="1"/>
        <c:majorTimeUnit val="months"/>
      </c:dateAx>
      <c:valAx>
        <c:axId val="11949200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17664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bg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600" b="1" i="0">
                <a:solidFill>
                  <a:srgbClr val="002060"/>
                </a:solidFill>
                <a:latin typeface="Aptos" panose="020B0004020202020204" pitchFamily="34" charset="0"/>
              </a:rPr>
              <a:t>Asset Class Allocation </a:t>
            </a:r>
            <a:r>
              <a:rPr lang="en-US" sz="1400" b="0" i="1">
                <a:solidFill>
                  <a:srgbClr val="002060"/>
                </a:solidFill>
                <a:latin typeface="Aptos" panose="020B0004020202020204" pitchFamily="34" charset="0"/>
              </a:rPr>
              <a:t>%</a:t>
            </a:r>
            <a:r>
              <a:rPr lang="en-US" sz="1600" b="1" i="0">
                <a:solidFill>
                  <a:srgbClr val="002060"/>
                </a:solidFill>
                <a:latin typeface="Aptos" panose="020B0004020202020204" pitchFamily="34" charset="0"/>
              </a:rPr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79872281894542E-2"/>
          <c:y val="0.13936763201210017"/>
          <c:w val="0.61350426125212887"/>
          <c:h val="0.79963521508963908"/>
        </c:manualLayout>
      </c:layout>
      <c:pieChart>
        <c:varyColors val="1"/>
        <c:ser>
          <c:idx val="3"/>
          <c:order val="0"/>
          <c:tx>
            <c:strRef>
              <c:f>Model!$F$5</c:f>
              <c:strCache>
                <c:ptCount val="1"/>
                <c:pt idx="0">
                  <c:v>Total Amount (ZAR) </c:v>
                </c:pt>
              </c:strCache>
            </c:strRef>
          </c:tx>
          <c:explosion val="1"/>
          <c:dPt>
            <c:idx val="0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C5E-440E-9A74-39A927D75BB3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C5E-440E-9A74-39A927D75BB3}"/>
              </c:ext>
            </c:extLst>
          </c:dPt>
          <c:dPt>
            <c:idx val="2"/>
            <c:bubble3D val="0"/>
            <c:spPr>
              <a:solidFill>
                <a:srgbClr val="FF800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C5E-440E-9A74-39A927D75BB3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C5E-440E-9A74-39A927D75BB3}"/>
              </c:ext>
            </c:extLst>
          </c:dPt>
          <c:dPt>
            <c:idx val="4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C5E-440E-9A74-39A927D75BB3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C5E-440E-9A74-39A927D75BB3}"/>
              </c:ext>
            </c:extLst>
          </c:dPt>
          <c:dPt>
            <c:idx val="6"/>
            <c:bubble3D val="0"/>
            <c:spPr>
              <a:solidFill>
                <a:srgbClr val="047E1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C5E-440E-9A74-39A927D75BB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C5E-440E-9A74-39A927D75BB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1" u="none" strike="noStrike" kern="1200" baseline="0">
                      <a:solidFill>
                        <a:schemeClr val="bg1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CC5E-440E-9A74-39A927D75B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1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Model!$B$7:$C$14</c:f>
              <c:strCache>
                <c:ptCount val="8"/>
                <c:pt idx="0">
                  <c:v>Offshore Equities </c:v>
                </c:pt>
                <c:pt idx="1">
                  <c:v>Domestic Equities</c:v>
                </c:pt>
                <c:pt idx="2">
                  <c:v>Offshore Bonds</c:v>
                </c:pt>
                <c:pt idx="3">
                  <c:v>Domestic Bonds</c:v>
                </c:pt>
                <c:pt idx="4">
                  <c:v>Gold</c:v>
                </c:pt>
                <c:pt idx="5">
                  <c:v>Property </c:v>
                </c:pt>
                <c:pt idx="6">
                  <c:v>Cash</c:v>
                </c:pt>
                <c:pt idx="7">
                  <c:v>Other</c:v>
                </c:pt>
              </c:strCache>
            </c:strRef>
          </c:cat>
          <c:val>
            <c:numRef>
              <c:f>Model!$F$7:$F$14</c:f>
              <c:numCache>
                <c:formatCode>_-"R"* #\ ##0_-;\-"R"* #\ ##0_-;_-"R"* "-"??_-;_-@_-</c:formatCode>
                <c:ptCount val="8"/>
                <c:pt idx="0">
                  <c:v>34729250</c:v>
                </c:pt>
                <c:pt idx="1">
                  <c:v>27163875</c:v>
                </c:pt>
                <c:pt idx="2">
                  <c:v>2126250</c:v>
                </c:pt>
                <c:pt idx="3">
                  <c:v>16332500</c:v>
                </c:pt>
                <c:pt idx="4">
                  <c:v>10000000</c:v>
                </c:pt>
                <c:pt idx="5">
                  <c:v>1381500</c:v>
                </c:pt>
                <c:pt idx="6">
                  <c:v>8199625</c:v>
                </c:pt>
                <c:pt idx="7">
                  <c:v>67000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5000-4B40-B273-29CA72CD805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55"/>
      </c:pieChart>
      <c:spPr>
        <a:noFill/>
        <a:ln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71658949708386566"/>
          <c:y val="0.19392022218152968"/>
          <c:w val="0.24747791093240071"/>
          <c:h val="0.635763901605322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600" b="1" i="0">
                <a:solidFill>
                  <a:srgbClr val="002060"/>
                </a:solidFill>
                <a:latin typeface="Aptos" panose="020B0004020202020204" pitchFamily="34" charset="0"/>
              </a:rPr>
              <a:t>Geographical</a:t>
            </a:r>
            <a:r>
              <a:rPr lang="en-US" sz="1600" b="1" i="0" baseline="0">
                <a:solidFill>
                  <a:srgbClr val="002060"/>
                </a:solidFill>
                <a:latin typeface="Aptos" panose="020B0004020202020204" pitchFamily="34" charset="0"/>
              </a:rPr>
              <a:t> Region </a:t>
            </a:r>
            <a:r>
              <a:rPr lang="en-US" sz="1600" b="1" i="0">
                <a:solidFill>
                  <a:srgbClr val="002060"/>
                </a:solidFill>
                <a:latin typeface="Aptos" panose="020B0004020202020204" pitchFamily="34" charset="0"/>
              </a:rPr>
              <a:t>Allocation </a:t>
            </a:r>
            <a:r>
              <a:rPr lang="en-US" sz="1400" b="0" i="1">
                <a:solidFill>
                  <a:srgbClr val="002060"/>
                </a:solidFill>
                <a:latin typeface="Aptos" panose="020B0004020202020204" pitchFamily="34" charset="0"/>
              </a:rPr>
              <a:t>%</a:t>
            </a:r>
            <a:r>
              <a:rPr lang="en-US" sz="1600" b="1" i="0">
                <a:solidFill>
                  <a:srgbClr val="002060"/>
                </a:solidFill>
                <a:latin typeface="Aptos" panose="020B0004020202020204" pitchFamily="34" charset="0"/>
              </a:rPr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79872281894542E-2"/>
          <c:y val="0.13936763201210017"/>
          <c:w val="0.61350426125212887"/>
          <c:h val="0.79963521508963908"/>
        </c:manualLayout>
      </c:layout>
      <c:pieChart>
        <c:varyColors val="1"/>
        <c:ser>
          <c:idx val="0"/>
          <c:order val="0"/>
          <c:tx>
            <c:strRef>
              <c:f>Model!$F$17</c:f>
              <c:strCache>
                <c:ptCount val="1"/>
                <c:pt idx="0">
                  <c:v>Total Amount (ZAR) </c:v>
                </c:pt>
              </c:strCache>
            </c:strRef>
          </c:tx>
          <c:explosion val="1"/>
          <c:dPt>
            <c:idx val="0"/>
            <c:bubble3D val="0"/>
            <c:spPr>
              <a:solidFill>
                <a:srgbClr val="047E1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FD6-4409-94A9-EAA0BB876EE6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D6-4409-94A9-EAA0BB876EE6}"/>
              </c:ext>
            </c:extLst>
          </c:dPt>
          <c:dPt>
            <c:idx val="2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FD6-4409-94A9-EAA0BB876EE6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FD6-4409-94A9-EAA0BB876EE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FD6-4409-94A9-EAA0BB876EE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FD6-4409-94A9-EAA0BB876EE6}"/>
              </c:ext>
            </c:extLst>
          </c:dPt>
          <c:dPt>
            <c:idx val="6"/>
            <c:bubble3D val="0"/>
            <c:spPr>
              <a:solidFill>
                <a:srgbClr val="93033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FD6-4409-94A9-EAA0BB876EE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FD6-4409-94A9-EAA0BB876EE6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1" u="none" strike="noStrike" kern="1200" baseline="0">
                      <a:solidFill>
                        <a:schemeClr val="bg1"/>
                      </a:solidFill>
                      <a:latin typeface="Aptos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FD6-4409-94A9-EAA0BB876E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1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Model!$B$19:$C$26</c:f>
              <c:strCache>
                <c:ptCount val="8"/>
                <c:pt idx="0">
                  <c:v>South Africa (ZAR)</c:v>
                </c:pt>
                <c:pt idx="1">
                  <c:v>United States (USD) </c:v>
                </c:pt>
                <c:pt idx="2">
                  <c:v>Europe (EUR)</c:v>
                </c:pt>
                <c:pt idx="3">
                  <c:v>Japan (JPY)</c:v>
                </c:pt>
                <c:pt idx="4">
                  <c:v>Asia (Exc Japan)</c:v>
                </c:pt>
                <c:pt idx="5">
                  <c:v>Pacific </c:v>
                </c:pt>
                <c:pt idx="6">
                  <c:v>Middle East  </c:v>
                </c:pt>
                <c:pt idx="7">
                  <c:v>Other </c:v>
                </c:pt>
              </c:strCache>
            </c:strRef>
          </c:cat>
          <c:val>
            <c:numRef>
              <c:f>Model!$F$19:$F$26</c:f>
              <c:numCache>
                <c:formatCode>_-"R"* #\ ##0_-;\-"R"* #\ ##0_-;_-"R"* "-"??_-;_-@_-</c:formatCode>
                <c:ptCount val="8"/>
                <c:pt idx="0">
                  <c:v>53337250</c:v>
                </c:pt>
                <c:pt idx="1">
                  <c:v>32317750</c:v>
                </c:pt>
                <c:pt idx="2">
                  <c:v>3359500</c:v>
                </c:pt>
                <c:pt idx="3">
                  <c:v>1030000</c:v>
                </c:pt>
                <c:pt idx="4">
                  <c:v>8693500</c:v>
                </c:pt>
                <c:pt idx="5">
                  <c:v>331500</c:v>
                </c:pt>
                <c:pt idx="6">
                  <c:v>69000</c:v>
                </c:pt>
                <c:pt idx="7">
                  <c:v>861500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01B-4DE8-8D31-5BB1A2BA852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85"/>
      </c:pieChart>
      <c:spPr>
        <a:noFill/>
        <a:ln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69586683082350997"/>
          <c:y val="0.19709175339096599"/>
          <c:w val="0.27139903972180468"/>
          <c:h val="0.637245868741931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</a:rPr>
              <a:t>Geographical Region Allocation </a:t>
            </a:r>
            <a:r>
              <a:rPr lang="en-US" sz="1400" b="0" i="1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</a:rPr>
              <a:t>(ZAR)  </a:t>
            </a:r>
            <a:endParaRPr lang="en-US" sz="1600" b="0" i="1" u="none" strike="noStrike" kern="1200" spc="0" baseline="0">
              <a:solidFill>
                <a:srgbClr val="002060"/>
              </a:solidFill>
              <a:latin typeface="Aptos" panose="020B00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86261357853145"/>
          <c:y val="0.11249033255993815"/>
          <c:w val="0.84705968126533204"/>
          <c:h val="0.81403712296983755"/>
        </c:manualLayout>
      </c:layout>
      <c:barChart>
        <c:barDir val="bar"/>
        <c:grouping val="clustered"/>
        <c:varyColors val="1"/>
        <c:ser>
          <c:idx val="4"/>
          <c:order val="0"/>
          <c:spPr>
            <a:solidFill>
              <a:srgbClr val="1EBBCC"/>
            </a:solidFill>
            <a:ln>
              <a:solidFill>
                <a:srgbClr val="00206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6DB-4C41-BE2D-E235DD5D8E13}"/>
              </c:ext>
            </c:extLst>
          </c:dPt>
          <c:dPt>
            <c:idx val="1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6DB-4C41-BE2D-E235DD5D8E13}"/>
              </c:ext>
            </c:extLst>
          </c:dPt>
          <c:dPt>
            <c:idx val="2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6DB-4C41-BE2D-E235DD5D8E13}"/>
              </c:ext>
            </c:extLst>
          </c:dPt>
          <c:dPt>
            <c:idx val="3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6DB-4C41-BE2D-E235DD5D8E13}"/>
              </c:ext>
            </c:extLst>
          </c:dPt>
          <c:dPt>
            <c:idx val="4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6DB-4C41-BE2D-E235DD5D8E13}"/>
              </c:ext>
            </c:extLst>
          </c:dPt>
          <c:dPt>
            <c:idx val="5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6DB-4C41-BE2D-E235DD5D8E13}"/>
              </c:ext>
            </c:extLst>
          </c:dPt>
          <c:dPt>
            <c:idx val="6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6DB-4C41-BE2D-E235DD5D8E13}"/>
              </c:ext>
            </c:extLst>
          </c:dPt>
          <c:dPt>
            <c:idx val="7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6DB-4C41-BE2D-E235DD5D8E13}"/>
              </c:ext>
            </c:extLst>
          </c:dPt>
          <c:dPt>
            <c:idx val="8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6DB-4C41-BE2D-E235DD5D8E13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0AE456B-6397-4127-9BC7-E6AC0BFFAC1B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6DB-4C41-BE2D-E235DD5D8E1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CE2C68-A469-4D9C-A5EB-C9BD8107901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6DB-4C41-BE2D-E235DD5D8E1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3FE0717-225B-4F29-8B65-9A61F7B42A8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6DB-4C41-BE2D-E235DD5D8E1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61129CA-706D-447D-B3F7-E34492E82CC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6DB-4C41-BE2D-E235DD5D8E1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DD124E6-3571-4B84-986F-1B137DBCC8F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6DB-4C41-BE2D-E235DD5D8E1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48BCDD9-DF6F-42B0-A7B6-25D19B92B34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6DB-4C41-BE2D-E235DD5D8E1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42DD633-584A-465D-888C-546EA747325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6DB-4C41-BE2D-E235DD5D8E1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3C5DF09-4CC2-462A-8775-72B9997700E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A6DB-4C41-BE2D-E235DD5D8E1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6EB1F04-00A8-4398-8F2C-555E37B62CC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A6DB-4C41-BE2D-E235DD5D8E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Model!$B$19:$C$27</c:f>
              <c:strCache>
                <c:ptCount val="9"/>
                <c:pt idx="0">
                  <c:v>South Africa (ZAR)</c:v>
                </c:pt>
                <c:pt idx="1">
                  <c:v>United States (USD) </c:v>
                </c:pt>
                <c:pt idx="2">
                  <c:v>Europe (EUR)</c:v>
                </c:pt>
                <c:pt idx="3">
                  <c:v>Japan (JPY)</c:v>
                </c:pt>
                <c:pt idx="4">
                  <c:v>Asia (Exc Japan)</c:v>
                </c:pt>
                <c:pt idx="5">
                  <c:v>Pacific </c:v>
                </c:pt>
                <c:pt idx="6">
                  <c:v>Middle East  </c:v>
                </c:pt>
                <c:pt idx="7">
                  <c:v>Other </c:v>
                </c:pt>
                <c:pt idx="8">
                  <c:v>Total </c:v>
                </c:pt>
              </c:strCache>
            </c:strRef>
          </c:cat>
          <c:val>
            <c:numRef>
              <c:f>Model!$F$19:$F$27</c:f>
              <c:numCache>
                <c:formatCode>_-"R"* #\ ##0_-;\-"R"* #\ ##0_-;_-"R"* "-"??_-;_-@_-</c:formatCode>
                <c:ptCount val="9"/>
                <c:pt idx="0">
                  <c:v>53337250</c:v>
                </c:pt>
                <c:pt idx="1">
                  <c:v>32317750</c:v>
                </c:pt>
                <c:pt idx="2">
                  <c:v>3359500</c:v>
                </c:pt>
                <c:pt idx="3">
                  <c:v>1030000</c:v>
                </c:pt>
                <c:pt idx="4">
                  <c:v>8693500</c:v>
                </c:pt>
                <c:pt idx="5">
                  <c:v>331500</c:v>
                </c:pt>
                <c:pt idx="6">
                  <c:v>69000</c:v>
                </c:pt>
                <c:pt idx="7">
                  <c:v>861500</c:v>
                </c:pt>
                <c:pt idx="8">
                  <c:v>100000000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5="http://schemas.microsoft.com/office/drawing/2012/chart" uri="{02D57815-91ED-43cb-92C2-25804820EDAC}">
              <c15:datalabelsRange>
                <c15:f>Model!$F$7:$F$15</c15:f>
                <c15:dlblRangeCache>
                  <c:ptCount val="9"/>
                  <c:pt idx="0">
                    <c:v> R34 729 250 </c:v>
                  </c:pt>
                  <c:pt idx="1">
                    <c:v> R27 163 875 </c:v>
                  </c:pt>
                  <c:pt idx="2">
                    <c:v> R2 126 250 </c:v>
                  </c:pt>
                  <c:pt idx="3">
                    <c:v> R16 332 500 </c:v>
                  </c:pt>
                  <c:pt idx="4">
                    <c:v> R10 000 000 </c:v>
                  </c:pt>
                  <c:pt idx="5">
                    <c:v> R1 381 500 </c:v>
                  </c:pt>
                  <c:pt idx="6">
                    <c:v> R8 199 625 </c:v>
                  </c:pt>
                  <c:pt idx="7">
                    <c:v> R67 000 </c:v>
                  </c:pt>
                  <c:pt idx="8">
                    <c:v> R100 000 000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2-A6DB-4C41-BE2D-E235DD5D8E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008226879"/>
        <c:axId val="1008223519"/>
      </c:barChart>
      <c:catAx>
        <c:axId val="1008226879"/>
        <c:scaling>
          <c:orientation val="minMax"/>
        </c:scaling>
        <c:delete val="0"/>
        <c:axPos val="l"/>
        <c:numFmt formatCode="_(&quot;R&quot;* #,##0.00_);_(&quot;R&quot;* \(#,##0.00\);_(&quot;R&quot;* &quot;-&quot;??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8223519"/>
        <c:crosses val="autoZero"/>
        <c:auto val="0"/>
        <c:lblAlgn val="ctr"/>
        <c:lblOffset val="100"/>
        <c:noMultiLvlLbl val="0"/>
      </c:catAx>
      <c:valAx>
        <c:axId val="1008223519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in"/>
        <c:minorTickMark val="none"/>
        <c:tickLblPos val="nextTo"/>
        <c:crossAx val="1008226879"/>
        <c:crosses val="autoZero"/>
        <c:crossBetween val="between"/>
        <c:dispUnits>
          <c:builtInUnit val="ten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  <a:latin typeface="Aptos" panose="020B0004020202020204" pitchFamily="34" charset="0"/>
              </a:rPr>
              <a:t>Annual Performance</a:t>
            </a:r>
            <a:r>
              <a:rPr lang="en-US" baseline="0">
                <a:solidFill>
                  <a:sysClr val="windowText" lastClr="000000"/>
                </a:solidFill>
                <a:latin typeface="Aptos" panose="020B0004020202020204" pitchFamily="34" charset="0"/>
              </a:rPr>
              <a:t> </a:t>
            </a:r>
            <a:endParaRPr lang="en-US">
              <a:solidFill>
                <a:sysClr val="windowText" lastClr="000000"/>
              </a:solidFill>
              <a:latin typeface="Aptos" panose="020B00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Outputs!$F$111</c:f>
              <c:strCache>
                <c:ptCount val="1"/>
                <c:pt idx="0">
                  <c:v>Standard Bank Portfolio Monthly Returns %</c:v>
                </c:pt>
              </c:strCache>
            </c:strRef>
          </c:tx>
          <c:spPr>
            <a:solidFill>
              <a:srgbClr val="002060"/>
            </a:solidFill>
            <a:ln w="9525" cap="flat" cmpd="sng" algn="ctr">
              <a:solidFill>
                <a:schemeClr val="tx1"/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Outputs!$F$104:$F$108</c:f>
              <c:numCache>
                <c:formatCode>General</c:formatCode>
                <c:ptCount val="5"/>
                <c:pt idx="0">
                  <c:v>2026</c:v>
                </c:pt>
                <c:pt idx="1">
                  <c:v>2025</c:v>
                </c:pt>
                <c:pt idx="2">
                  <c:v>2024</c:v>
                </c:pt>
                <c:pt idx="3">
                  <c:v>2023</c:v>
                </c:pt>
                <c:pt idx="4">
                  <c:v>2022</c:v>
                </c:pt>
              </c:numCache>
            </c:numRef>
          </c:cat>
          <c:val>
            <c:numRef>
              <c:f>Outputs!$S$113:$S$117</c:f>
              <c:numCache>
                <c:formatCode>0.00%</c:formatCode>
                <c:ptCount val="5"/>
                <c:pt idx="0">
                  <c:v>1.4450811540141164E-2</c:v>
                </c:pt>
                <c:pt idx="1">
                  <c:v>0.15032049935499112</c:v>
                </c:pt>
                <c:pt idx="2">
                  <c:v>0.11776432078826982</c:v>
                </c:pt>
                <c:pt idx="3">
                  <c:v>0.12405598905813053</c:v>
                </c:pt>
                <c:pt idx="4">
                  <c:v>9.3335624157265484E-2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2-438B-BD4F-17CE164C3338}"/>
            </c:ext>
          </c:extLst>
        </c:ser>
        <c:ser>
          <c:idx val="1"/>
          <c:order val="1"/>
          <c:tx>
            <c:strRef>
              <c:f>Outputs!$F$102</c:f>
              <c:strCache>
                <c:ptCount val="1"/>
                <c:pt idx="0">
                  <c:v>BCI Portfolio Monthly Returns %</c:v>
                </c:pt>
              </c:strCache>
            </c:strRef>
          </c:tx>
          <c:spPr>
            <a:solidFill>
              <a:srgbClr val="047E10"/>
            </a:solidFill>
            <a:ln w="9525" cap="flat" cmpd="sng" algn="ctr">
              <a:solidFill>
                <a:srgbClr val="002060"/>
              </a:solidFill>
              <a:miter lim="800000"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47E10"/>
              </a:solidFill>
              <a:ln w="9525" cap="flat" cmpd="sng" algn="ctr">
                <a:solidFill>
                  <a:schemeClr val="tx1"/>
                </a:solidFill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0-AD4B-42F9-8B31-21EA76130A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Outputs!$F$104:$F$108</c:f>
              <c:numCache>
                <c:formatCode>General</c:formatCode>
                <c:ptCount val="5"/>
                <c:pt idx="0">
                  <c:v>2026</c:v>
                </c:pt>
                <c:pt idx="1">
                  <c:v>2025</c:v>
                </c:pt>
                <c:pt idx="2">
                  <c:v>2024</c:v>
                </c:pt>
                <c:pt idx="3">
                  <c:v>2023</c:v>
                </c:pt>
                <c:pt idx="4">
                  <c:v>2022</c:v>
                </c:pt>
              </c:numCache>
            </c:numRef>
          </c:cat>
          <c:val>
            <c:numRef>
              <c:f>Outputs!$S$104:$S$108</c:f>
              <c:numCache>
                <c:formatCode>0.00%</c:formatCode>
                <c:ptCount val="5"/>
                <c:pt idx="0">
                  <c:v>8.2645416779661661E-3</c:v>
                </c:pt>
                <c:pt idx="1">
                  <c:v>0.14654849176919471</c:v>
                </c:pt>
                <c:pt idx="2">
                  <c:v>0.13184385859247305</c:v>
                </c:pt>
                <c:pt idx="3">
                  <c:v>0.13233689011773375</c:v>
                </c:pt>
                <c:pt idx="4">
                  <c:v>0.11373079880966319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2-438B-BD4F-17CE164C33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5"/>
        <c:overlap val="-40"/>
        <c:axId val="146349199"/>
        <c:axId val="146357839"/>
      </c:barChart>
      <c:dateAx>
        <c:axId val="146349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46357839"/>
        <c:crosses val="autoZero"/>
        <c:auto val="0"/>
        <c:lblOffset val="100"/>
        <c:baseTimeUnit val="days"/>
      </c:dateAx>
      <c:valAx>
        <c:axId val="14635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0.00%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46349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 algn="ctr">
              <a:defRPr sz="16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</a:rPr>
              <a:t>Asset Class Allocation</a:t>
            </a:r>
            <a:r>
              <a:rPr lang="en-US" sz="16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</a:rPr>
              <a:t> </a:t>
            </a:r>
            <a:r>
              <a:rPr lang="en-US" sz="1400" b="0" i="1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</a:rPr>
              <a:t>(ZAR)  </a:t>
            </a:r>
            <a:endParaRPr lang="en-US" sz="1600" b="0" i="1" u="none" strike="noStrike" kern="1200" spc="0" baseline="0">
              <a:solidFill>
                <a:srgbClr val="002060"/>
              </a:solidFill>
              <a:latin typeface="Aptos" panose="020B0004020202020204" pitchFamily="34" charset="0"/>
            </a:endParaRPr>
          </a:p>
        </c:rich>
      </c:tx>
      <c:layout>
        <c:manualLayout>
          <c:xMode val="edge"/>
          <c:yMode val="edge"/>
          <c:x val="0.28558703392164481"/>
          <c:y val="2.32018263342082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 algn="ctr">
            <a:defRPr sz="1600" b="1" i="0" u="none" strike="noStrike" kern="1200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86261357853145"/>
          <c:y val="0.11249033255993815"/>
          <c:w val="0.84705968126533204"/>
          <c:h val="0.81403712296983755"/>
        </c:manualLayout>
      </c:layout>
      <c:barChart>
        <c:barDir val="bar"/>
        <c:grouping val="clustered"/>
        <c:varyColors val="1"/>
        <c:ser>
          <c:idx val="4"/>
          <c:order val="0"/>
          <c:tx>
            <c:strRef>
              <c:f>Model!$F$5</c:f>
              <c:strCache>
                <c:ptCount val="1"/>
                <c:pt idx="0">
                  <c:v>Total Amount (ZAR) </c:v>
                </c:pt>
              </c:strCache>
            </c:strRef>
          </c:tx>
          <c:spPr>
            <a:solidFill>
              <a:srgbClr val="1EBBCC"/>
            </a:solidFill>
            <a:ln>
              <a:solidFill>
                <a:srgbClr val="00206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F33-4675-BB30-351ADABE2EF9}"/>
              </c:ext>
            </c:extLst>
          </c:dPt>
          <c:dPt>
            <c:idx val="1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33-4675-BB30-351ADABE2EF9}"/>
              </c:ext>
            </c:extLst>
          </c:dPt>
          <c:dPt>
            <c:idx val="2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F33-4675-BB30-351ADABE2EF9}"/>
              </c:ext>
            </c:extLst>
          </c:dPt>
          <c:dPt>
            <c:idx val="3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F33-4675-BB30-351ADABE2EF9}"/>
              </c:ext>
            </c:extLst>
          </c:dPt>
          <c:dPt>
            <c:idx val="4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F33-4675-BB30-351ADABE2EF9}"/>
              </c:ext>
            </c:extLst>
          </c:dPt>
          <c:dPt>
            <c:idx val="5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F33-4675-BB30-351ADABE2EF9}"/>
              </c:ext>
            </c:extLst>
          </c:dPt>
          <c:dPt>
            <c:idx val="6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F33-4675-BB30-351ADABE2EF9}"/>
              </c:ext>
            </c:extLst>
          </c:dPt>
          <c:dPt>
            <c:idx val="7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F33-4675-BB30-351ADABE2EF9}"/>
              </c:ext>
            </c:extLst>
          </c:dPt>
          <c:dPt>
            <c:idx val="8"/>
            <c:invertIfNegative val="0"/>
            <c:bubble3D val="0"/>
            <c:spPr>
              <a:solidFill>
                <a:srgbClr val="1EBBCC"/>
              </a:solid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F33-4675-BB30-351ADABE2EF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B62107F-B573-4D07-AB56-CF7A2176E5EE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F33-4675-BB30-351ADABE2EF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882DF06-BF61-4142-BA29-9A92D161900F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6F33-4675-BB30-351ADABE2EF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1AF18DF-24E6-4DB6-8B85-86BEC9E751A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F33-4675-BB30-351ADABE2EF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498A685-F027-473B-9AAE-44701B0BF00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F33-4675-BB30-351ADABE2EF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FC7618A-3CB6-4BE9-8FE9-2509FE310556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F33-4675-BB30-351ADABE2EF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17A320C-6383-45F3-9E04-853444A18BA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F33-4675-BB30-351ADABE2EF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FF01838-A373-401C-BC2B-0244BD952FA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F33-4675-BB30-351ADABE2EF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5F5D467-858B-436C-85A9-C38332A49DA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6F33-4675-BB30-351ADABE2EF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E12901E-CDD6-4703-8975-9BF8EFD7E76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6F33-4675-BB30-351ADABE2EF9}"/>
                </c:ext>
              </c:extLst>
            </c:dLbl>
            <c:numFmt formatCode="_(&quot;R&quot;* #,##0.00_);_(&quot;R&quot;* \(#,##0.00\);_(&quot;R&quot;* &quot;-&quot;??_);_(@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Model!$B$7:$C$15</c:f>
              <c:strCache>
                <c:ptCount val="9"/>
                <c:pt idx="0">
                  <c:v>Offshore Equities </c:v>
                </c:pt>
                <c:pt idx="1">
                  <c:v>Domestic Equities</c:v>
                </c:pt>
                <c:pt idx="2">
                  <c:v>Offshore Bonds</c:v>
                </c:pt>
                <c:pt idx="3">
                  <c:v>Domestic Bonds</c:v>
                </c:pt>
                <c:pt idx="4">
                  <c:v>Gold</c:v>
                </c:pt>
                <c:pt idx="5">
                  <c:v>Property </c:v>
                </c:pt>
                <c:pt idx="6">
                  <c:v>Cash</c:v>
                </c:pt>
                <c:pt idx="7">
                  <c:v>Other</c:v>
                </c:pt>
                <c:pt idx="8">
                  <c:v>Total </c:v>
                </c:pt>
              </c:strCache>
            </c:strRef>
          </c:cat>
          <c:val>
            <c:numRef>
              <c:f>Model!$F$7:$F$15</c:f>
              <c:numCache>
                <c:formatCode>_-"R"* #\ ##0_-;\-"R"* #\ ##0_-;_-"R"* "-"??_-;_-@_-</c:formatCode>
                <c:ptCount val="9"/>
                <c:pt idx="0">
                  <c:v>34729250</c:v>
                </c:pt>
                <c:pt idx="1">
                  <c:v>27163875</c:v>
                </c:pt>
                <c:pt idx="2">
                  <c:v>2126250</c:v>
                </c:pt>
                <c:pt idx="3">
                  <c:v>16332500</c:v>
                </c:pt>
                <c:pt idx="4">
                  <c:v>10000000</c:v>
                </c:pt>
                <c:pt idx="5">
                  <c:v>1381500</c:v>
                </c:pt>
                <c:pt idx="6">
                  <c:v>8199625</c:v>
                </c:pt>
                <c:pt idx="7">
                  <c:v>67000</c:v>
                </c:pt>
                <c:pt idx="8">
                  <c:v>100000000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Model!$F$7:$F$15</c15:f>
                <c15:dlblRangeCache>
                  <c:ptCount val="9"/>
                  <c:pt idx="0">
                    <c:v> R34 729 250 </c:v>
                  </c:pt>
                  <c:pt idx="1">
                    <c:v> R27 163 875 </c:v>
                  </c:pt>
                  <c:pt idx="2">
                    <c:v> R2 126 250 </c:v>
                  </c:pt>
                  <c:pt idx="3">
                    <c:v> R16 332 500 </c:v>
                  </c:pt>
                  <c:pt idx="4">
                    <c:v> R10 000 000 </c:v>
                  </c:pt>
                  <c:pt idx="5">
                    <c:v> R1 381 500 </c:v>
                  </c:pt>
                  <c:pt idx="6">
                    <c:v> R8 199 625 </c:v>
                  </c:pt>
                  <c:pt idx="7">
                    <c:v> R67 000 </c:v>
                  </c:pt>
                  <c:pt idx="8">
                    <c:v> R100 000 000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2-6F33-4675-BB30-351ADABE2EF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008226879"/>
        <c:axId val="1008223519"/>
      </c:barChart>
      <c:catAx>
        <c:axId val="1008226879"/>
        <c:scaling>
          <c:orientation val="minMax"/>
        </c:scaling>
        <c:delete val="0"/>
        <c:axPos val="l"/>
        <c:numFmt formatCode="_(&quot;R&quot;* #,##0.00_);_(&quot;R&quot;* \(#,##0.00\);_(&quot;R&quot;* &quot;-&quot;??_);_(@_)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8223519"/>
        <c:crosses val="autoZero"/>
        <c:auto val="0"/>
        <c:lblAlgn val="ctr"/>
        <c:lblOffset val="100"/>
        <c:noMultiLvlLbl val="0"/>
      </c:catAx>
      <c:valAx>
        <c:axId val="1008223519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out"/>
        <c:minorTickMark val="none"/>
        <c:tickLblPos val="nextTo"/>
        <c:crossAx val="1008226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b="1">
                <a:solidFill>
                  <a:srgbClr val="002060"/>
                </a:solidFill>
                <a:latin typeface="Aptos" panose="020B0004020202020204" pitchFamily="34" charset="0"/>
              </a:rPr>
              <a:t>BCI</a:t>
            </a:r>
            <a:r>
              <a:rPr lang="en-US" b="1" baseline="0">
                <a:solidFill>
                  <a:srgbClr val="002060"/>
                </a:solidFill>
                <a:latin typeface="Aptos" panose="020B0004020202020204" pitchFamily="34" charset="0"/>
              </a:rPr>
              <a:t> Portfolio - Gross &amp; Net</a:t>
            </a:r>
            <a:r>
              <a:rPr lang="en-US" b="1">
                <a:solidFill>
                  <a:srgbClr val="002060"/>
                </a:solidFill>
                <a:latin typeface="Aptos" panose="020B00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Model!$F$33</c:f>
              <c:strCache>
                <c:ptCount val="1"/>
                <c:pt idx="0">
                  <c:v>Expected Return %</c:v>
                </c:pt>
              </c:strCache>
            </c:strRef>
          </c:tx>
          <c:spPr>
            <a:solidFill>
              <a:srgbClr val="047E1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Model!$B$63:$C$68</c:f>
              <c:strCache>
                <c:ptCount val="6"/>
                <c:pt idx="0">
                  <c:v>Blue Alpha Global Equity Fund </c:v>
                </c:pt>
                <c:pt idx="1">
                  <c:v>Granate BCI Balanced Fund </c:v>
                </c:pt>
                <c:pt idx="2">
                  <c:v>BCI Flexible Instit Fund </c:v>
                </c:pt>
                <c:pt idx="3">
                  <c:v>Investment Y</c:v>
                </c:pt>
                <c:pt idx="4">
                  <c:v>Fairtree Income Plus Fund </c:v>
                </c:pt>
                <c:pt idx="5">
                  <c:v>Investment X</c:v>
                </c:pt>
              </c:strCache>
            </c:strRef>
          </c:cat>
          <c:val>
            <c:numRef>
              <c:f>Model!$F$35:$F$40</c:f>
              <c:numCache>
                <c:formatCode>0.00%</c:formatCode>
                <c:ptCount val="6"/>
                <c:pt idx="0">
                  <c:v>7.3999999999999996E-2</c:v>
                </c:pt>
                <c:pt idx="1">
                  <c:v>0.185</c:v>
                </c:pt>
                <c:pt idx="2">
                  <c:v>0.14879999999999999</c:v>
                </c:pt>
                <c:pt idx="3">
                  <c:v>0.12130000000000001</c:v>
                </c:pt>
                <c:pt idx="4">
                  <c:v>9.3600000000000003E-2</c:v>
                </c:pt>
                <c:pt idx="5">
                  <c:v>0.108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6B-4C19-A60F-D827BA1F9FFC}"/>
            </c:ext>
          </c:extLst>
        </c:ser>
        <c:ser>
          <c:idx val="0"/>
          <c:order val="1"/>
          <c:tx>
            <c:strRef>
              <c:f>Model!$I$61</c:f>
              <c:strCache>
                <c:ptCount val="1"/>
                <c:pt idx="0">
                  <c:v>Net Return %</c:v>
                </c:pt>
              </c:strCache>
            </c:strRef>
          </c:tx>
          <c:spPr>
            <a:solidFill>
              <a:srgbClr val="4ED64E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Model!$B$63:$C$68</c:f>
              <c:strCache>
                <c:ptCount val="6"/>
                <c:pt idx="0">
                  <c:v>Blue Alpha Global Equity Fund </c:v>
                </c:pt>
                <c:pt idx="1">
                  <c:v>Granate BCI Balanced Fund </c:v>
                </c:pt>
                <c:pt idx="2">
                  <c:v>BCI Flexible Instit Fund </c:v>
                </c:pt>
                <c:pt idx="3">
                  <c:v>Investment Y</c:v>
                </c:pt>
                <c:pt idx="4">
                  <c:v>Fairtree Income Plus Fund </c:v>
                </c:pt>
                <c:pt idx="5">
                  <c:v>Investment X</c:v>
                </c:pt>
              </c:strCache>
            </c:strRef>
          </c:cat>
          <c:val>
            <c:numRef>
              <c:f>Model!$I$63:$I$68</c:f>
              <c:numCache>
                <c:formatCode>0.00%</c:formatCode>
                <c:ptCount val="6"/>
                <c:pt idx="0">
                  <c:v>5.797604E-2</c:v>
                </c:pt>
                <c:pt idx="1">
                  <c:v>0.14197307000000001</c:v>
                </c:pt>
                <c:pt idx="2">
                  <c:v>0.11423498015999999</c:v>
                </c:pt>
                <c:pt idx="3">
                  <c:v>9.0793098520000004E-2</c:v>
                </c:pt>
                <c:pt idx="4">
                  <c:v>6.84366696E-2</c:v>
                </c:pt>
                <c:pt idx="5">
                  <c:v>7.8839999999999993E-2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70-4B22-AA9C-EB0593ABA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-30"/>
        <c:axId val="1117562095"/>
        <c:axId val="1117562575"/>
      </c:barChart>
      <c:catAx>
        <c:axId val="111756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17562575"/>
        <c:crosses val="autoZero"/>
        <c:auto val="1"/>
        <c:lblAlgn val="ctr"/>
        <c:lblOffset val="100"/>
        <c:noMultiLvlLbl val="0"/>
      </c:catAx>
      <c:valAx>
        <c:axId val="111756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17562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1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b="1" baseline="0">
                <a:solidFill>
                  <a:srgbClr val="002060"/>
                </a:solidFill>
                <a:latin typeface="Aptos" panose="020B0004020202020204" pitchFamily="34" charset="0"/>
              </a:rPr>
              <a:t>Standard Bank Portfolio - Gross &amp; Net </a:t>
            </a:r>
            <a:r>
              <a:rPr lang="en-US" b="1">
                <a:solidFill>
                  <a:srgbClr val="002060"/>
                </a:solidFill>
                <a:latin typeface="Aptos" panose="020B00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Model!$F$44</c:f>
              <c:strCache>
                <c:ptCount val="1"/>
                <c:pt idx="0">
                  <c:v>Expected Return %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Model!$B$69:$C$77</c:f>
              <c:strCache>
                <c:ptCount val="9"/>
                <c:pt idx="0">
                  <c:v>Investment Z</c:v>
                </c:pt>
                <c:pt idx="1">
                  <c:v>NewGold ETF</c:v>
                </c:pt>
                <c:pt idx="2">
                  <c:v>Satrix MSCI World ETF</c:v>
                </c:pt>
                <c:pt idx="3">
                  <c:v>10X S&amp;P 500 ETF</c:v>
                </c:pt>
                <c:pt idx="4">
                  <c:v>Investment A</c:v>
                </c:pt>
                <c:pt idx="5">
                  <c:v>Satrix Fini ETF</c:v>
                </c:pt>
                <c:pt idx="6">
                  <c:v>Satrix Rafi 40 ETF</c:v>
                </c:pt>
                <c:pt idx="7">
                  <c:v>1nvest MSCI EM Asia ETF</c:v>
                </c:pt>
                <c:pt idx="8">
                  <c:v>Cash </c:v>
                </c:pt>
              </c:strCache>
            </c:strRef>
          </c:cat>
          <c:val>
            <c:numRef>
              <c:f>Model!$F$46:$F$54</c:f>
              <c:numCache>
                <c:formatCode>0.00%</c:formatCode>
                <c:ptCount val="9"/>
                <c:pt idx="0">
                  <c:v>0.129</c:v>
                </c:pt>
                <c:pt idx="1">
                  <c:v>0.2084</c:v>
                </c:pt>
                <c:pt idx="2">
                  <c:v>0.1348</c:v>
                </c:pt>
                <c:pt idx="3">
                  <c:v>0.158</c:v>
                </c:pt>
                <c:pt idx="4">
                  <c:v>0.1434</c:v>
                </c:pt>
                <c:pt idx="5">
                  <c:v>0.22919999999999999</c:v>
                </c:pt>
                <c:pt idx="6">
                  <c:v>0.2185</c:v>
                </c:pt>
                <c:pt idx="7">
                  <c:v>0.16109999999999999</c:v>
                </c:pt>
                <c:pt idx="8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60-4EE3-AE39-26F1BA0F42AA}"/>
            </c:ext>
          </c:extLst>
        </c:ser>
        <c:ser>
          <c:idx val="0"/>
          <c:order val="1"/>
          <c:tx>
            <c:strRef>
              <c:f>Model!$I$61</c:f>
              <c:strCache>
                <c:ptCount val="1"/>
                <c:pt idx="0">
                  <c:v>Net Return %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72000" tIns="19050" rIns="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Model!$B$69:$C$77</c:f>
              <c:strCache>
                <c:ptCount val="9"/>
                <c:pt idx="0">
                  <c:v>Investment Z</c:v>
                </c:pt>
                <c:pt idx="1">
                  <c:v>NewGold ETF</c:v>
                </c:pt>
                <c:pt idx="2">
                  <c:v>Satrix MSCI World ETF</c:v>
                </c:pt>
                <c:pt idx="3">
                  <c:v>10X S&amp;P 500 ETF</c:v>
                </c:pt>
                <c:pt idx="4">
                  <c:v>Investment A</c:v>
                </c:pt>
                <c:pt idx="5">
                  <c:v>Satrix Fini ETF</c:v>
                </c:pt>
                <c:pt idx="6">
                  <c:v>Satrix Rafi 40 ETF</c:v>
                </c:pt>
                <c:pt idx="7">
                  <c:v>1nvest MSCI EM Asia ETF</c:v>
                </c:pt>
                <c:pt idx="8">
                  <c:v>Cash </c:v>
                </c:pt>
              </c:strCache>
            </c:strRef>
          </c:cat>
          <c:val>
            <c:numRef>
              <c:f>Model!$I$69:$I$77</c:f>
              <c:numCache>
                <c:formatCode>0.00%</c:formatCode>
                <c:ptCount val="9"/>
                <c:pt idx="0">
                  <c:v>0.101136</c:v>
                </c:pt>
                <c:pt idx="1">
                  <c:v>0.16338559999999999</c:v>
                </c:pt>
                <c:pt idx="2">
                  <c:v>0.10553106472</c:v>
                </c:pt>
                <c:pt idx="3">
                  <c:v>0.123872</c:v>
                </c:pt>
                <c:pt idx="4">
                  <c:v>0.11239385124000001</c:v>
                </c:pt>
                <c:pt idx="5">
                  <c:v>0.17916307295999997</c:v>
                </c:pt>
                <c:pt idx="6">
                  <c:v>0.1712119678</c:v>
                </c:pt>
                <c:pt idx="7">
                  <c:v>0.12627978156</c:v>
                </c:pt>
                <c:pt idx="8">
                  <c:v>4.088E-2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3-4E1F-B699-4BEE206485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5"/>
        <c:overlap val="-30"/>
        <c:axId val="1117562095"/>
        <c:axId val="1117562575"/>
      </c:barChart>
      <c:catAx>
        <c:axId val="111756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17562575"/>
        <c:crosses val="autoZero"/>
        <c:auto val="1"/>
        <c:lblAlgn val="ctr"/>
        <c:lblOffset val="100"/>
        <c:noMultiLvlLbl val="0"/>
      </c:catAx>
      <c:valAx>
        <c:axId val="111756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17562095"/>
        <c:crosses val="autoZero"/>
        <c:crossBetween val="between"/>
        <c:majorUnit val="2.5000000000000005E-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1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cap="none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rgbClr val="002060"/>
                </a:solidFill>
                <a:latin typeface="Aptos" panose="020B0004020202020204" pitchFamily="34" charset="0"/>
                <a:ea typeface="+mn-ea"/>
                <a:cs typeface="+mn-cs"/>
              </a:rPr>
              <a:t>Risk Analysis - Sharpe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cap="none" spc="0" baseline="0">
              <a:solidFill>
                <a:srgbClr val="00206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Model!$H$84</c:f>
              <c:strCache>
                <c:ptCount val="1"/>
                <c:pt idx="0">
                  <c:v>Sharpe Ratio </c:v>
                </c:pt>
              </c:strCache>
            </c:strRef>
          </c:tx>
          <c:spPr>
            <a:ln w="22225" cap="rnd">
              <a:solidFill>
                <a:srgbClr val="00B0F0"/>
              </a:solidFill>
            </a:ln>
            <a:effectLst/>
          </c:spPr>
          <c:marker>
            <c:symbol val="none"/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B40-4C8A-AB36-8796FC4378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Model!$B$86:$C$99</c:f>
              <c:strCache>
                <c:ptCount val="14"/>
                <c:pt idx="0">
                  <c:v>Blue Alpha Global Equity Fund </c:v>
                </c:pt>
                <c:pt idx="1">
                  <c:v>Granate BCI Balanced Fund </c:v>
                </c:pt>
                <c:pt idx="2">
                  <c:v>BCI Flexible Instit Fund </c:v>
                </c:pt>
                <c:pt idx="3">
                  <c:v>Investment Y</c:v>
                </c:pt>
                <c:pt idx="4">
                  <c:v>Fairtree Income Plus Fund </c:v>
                </c:pt>
                <c:pt idx="5">
                  <c:v>Investment X</c:v>
                </c:pt>
                <c:pt idx="6">
                  <c:v>Investment Z</c:v>
                </c:pt>
                <c:pt idx="7">
                  <c:v>NewGold ETF</c:v>
                </c:pt>
                <c:pt idx="8">
                  <c:v>Satrix MSCI World Feeder ETF</c:v>
                </c:pt>
                <c:pt idx="9">
                  <c:v>10X S&amp;P 500 Index Feeder ETF</c:v>
                </c:pt>
                <c:pt idx="10">
                  <c:v>Investment A</c:v>
                </c:pt>
                <c:pt idx="11">
                  <c:v>Satrix Fini ETF</c:v>
                </c:pt>
                <c:pt idx="12">
                  <c:v>Satrix Rafi 40 ETF</c:v>
                </c:pt>
                <c:pt idx="13">
                  <c:v>1nvest MSCI EM Asia Index ETF</c:v>
                </c:pt>
              </c:strCache>
            </c:strRef>
          </c:cat>
          <c:val>
            <c:numRef>
              <c:f>Model!$H$86:$H$99</c:f>
              <c:numCache>
                <c:formatCode>0.00</c:formatCode>
                <c:ptCount val="14"/>
                <c:pt idx="0">
                  <c:v>-4.0268456375838965E-2</c:v>
                </c:pt>
                <c:pt idx="1">
                  <c:v>1.1931818181818181</c:v>
                </c:pt>
                <c:pt idx="2">
                  <c:v>0.88545688545688517</c:v>
                </c:pt>
                <c:pt idx="3">
                  <c:v>0.9560185185185186</c:v>
                </c:pt>
                <c:pt idx="4">
                  <c:v>0.8774193548387097</c:v>
                </c:pt>
                <c:pt idx="5">
                  <c:v>0.73878627968337718</c:v>
                </c:pt>
                <c:pt idx="6">
                  <c:v>0.36296296296296293</c:v>
                </c:pt>
                <c:pt idx="7">
                  <c:v>0.82785299806576418</c:v>
                </c:pt>
                <c:pt idx="8">
                  <c:v>0.36803223640026861</c:v>
                </c:pt>
                <c:pt idx="9">
                  <c:v>0.48447204968944096</c:v>
                </c:pt>
                <c:pt idx="10">
                  <c:v>0.55130434782608695</c:v>
                </c:pt>
                <c:pt idx="11">
                  <c:v>0.87764705882352934</c:v>
                </c:pt>
                <c:pt idx="12">
                  <c:v>1.0653846153846154</c:v>
                </c:pt>
                <c:pt idx="13">
                  <c:v>0.45055555555555554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40-4C8A-AB36-8796FC4378A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>
              <a:solidFill>
                <a:schemeClr val="bg1">
                  <a:lumMod val="75000"/>
                </a:schemeClr>
              </a:solidFill>
              <a:round/>
            </a:ln>
            <a:effectLst/>
          </c:spPr>
        </c:dropLines>
        <c:smooth val="0"/>
        <c:axId val="1194917664"/>
        <c:axId val="1194920064"/>
      </c:lineChart>
      <c:dateAx>
        <c:axId val="119491766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low"/>
        <c:spPr>
          <a:noFill/>
          <a:ln w="12700">
            <a:solidFill>
              <a:schemeClr val="tx1"/>
            </a:solidFill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20064"/>
        <c:crosses val="autoZero"/>
        <c:auto val="0"/>
        <c:lblOffset val="100"/>
        <c:baseTimeUnit val="months"/>
        <c:majorUnit val="1"/>
        <c:majorTimeUnit val="months"/>
      </c:dateAx>
      <c:valAx>
        <c:axId val="1194920064"/>
        <c:scaling>
          <c:orientation val="minMax"/>
        </c:scaling>
        <c:delete val="0"/>
        <c:axPos val="l"/>
        <c:numFmt formatCode="#,##0.0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194917664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bg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trlProps/ctrlProp1.xml><?xml version="1.0" encoding="utf-8"?>
<formControlPr xmlns="http://schemas.microsoft.com/office/spreadsheetml/2009/9/main" objectType="Drop" dropStyle="combo" dx="26" fmlaLink="$J$53" fmlaRange="$L$53:$L$55" noThreeD="1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601980</xdr:colOff>
      <xdr:row>12</xdr:row>
      <xdr:rowOff>175260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076F40-331E-484E-9673-3A08E110D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731520"/>
          <a:ext cx="4259580" cy="26822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</xdr:col>
      <xdr:colOff>0</xdr:colOff>
      <xdr:row>14</xdr:row>
      <xdr:rowOff>0</xdr:rowOff>
    </xdr:from>
    <xdr:to>
      <xdr:col>17</xdr:col>
      <xdr:colOff>0</xdr:colOff>
      <xdr:row>21</xdr:row>
      <xdr:rowOff>175260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0020482-6824-4F60-9A42-0D6CFE163D7A}"/>
            </a:ext>
          </a:extLst>
        </xdr:cNvPr>
        <xdr:cNvSpPr txBox="1"/>
      </xdr:nvSpPr>
      <xdr:spPr>
        <a:xfrm>
          <a:off x="205740" y="3604260"/>
          <a:ext cx="10195560" cy="145542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Disclaimer:</a:t>
          </a:r>
          <a:r>
            <a:rPr lang="en-ZA" sz="1000" b="1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endParaRPr lang="en-ZA" sz="1000" b="1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r>
            <a:rPr lang="en-ZA" sz="1000" b="0">
              <a:effectLst/>
              <a:latin typeface="Aptos" panose="020B0004020202020204" pitchFamily="34" charset="0"/>
            </a:rPr>
            <a:t>This financial model has been prepared for educational and illustrative purposes only. The information, assumptions, forecasts, and calculations contained herein are based on estimates and publicly available information.</a:t>
          </a:r>
          <a:r>
            <a:rPr lang="en-ZA" sz="1000" b="0" baseline="0">
              <a:effectLst/>
              <a:latin typeface="Aptos" panose="020B0004020202020204" pitchFamily="34" charset="0"/>
            </a:rPr>
            <a:t> </a:t>
          </a:r>
          <a:endParaRPr lang="en-ZA" sz="1000" b="0">
            <a:effectLst/>
            <a:latin typeface="Aptos" panose="020B0004020202020204" pitchFamily="34" charset="0"/>
          </a:endParaRPr>
        </a:p>
        <a:p>
          <a:endParaRPr lang="en-ZA" sz="1000" b="0">
            <a:effectLst/>
            <a:latin typeface="Aptos" panose="020B0004020202020204" pitchFamily="34" charset="0"/>
          </a:endParaRPr>
        </a:p>
        <a:p>
          <a:r>
            <a:rPr lang="en-ZA" sz="1000" b="0">
              <a:effectLst/>
              <a:latin typeface="Aptos" panose="020B0004020202020204" pitchFamily="34" charset="0"/>
            </a:rPr>
            <a:t>This model was developed independently by</a:t>
          </a:r>
          <a:r>
            <a:rPr lang="en-ZA" sz="1000" b="0" baseline="0">
              <a:effectLst/>
              <a:latin typeface="Aptos" panose="020B0004020202020204" pitchFamily="34" charset="0"/>
            </a:rPr>
            <a:t> Paul de Wet</a:t>
          </a:r>
          <a:r>
            <a:rPr lang="en-ZA" sz="1000" b="0">
              <a:effectLst/>
              <a:latin typeface="Aptos" panose="020B0004020202020204" pitchFamily="34" charset="0"/>
            </a:rPr>
            <a:t>. Any unauthorized copying, redistribution, modification, reproduction, or commercial use of this model, in whole or in part, is strictly prohibited without prior written permission from the creator.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7620</xdr:colOff>
          <xdr:row>52</xdr:row>
          <xdr:rowOff>7620</xdr:rowOff>
        </xdr:from>
        <xdr:to>
          <xdr:col>10</xdr:col>
          <xdr:colOff>0</xdr:colOff>
          <xdr:row>54</xdr:row>
          <xdr:rowOff>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0</xdr:colOff>
      <xdr:row>148</xdr:row>
      <xdr:rowOff>0</xdr:rowOff>
    </xdr:from>
    <xdr:to>
      <xdr:col>4</xdr:col>
      <xdr:colOff>1143000</xdr:colOff>
      <xdr:row>154</xdr:row>
      <xdr:rowOff>175260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F850154-9B39-4393-8782-C6FEFF4FA526}"/>
            </a:ext>
          </a:extLst>
        </xdr:cNvPr>
        <xdr:cNvSpPr txBox="1"/>
      </xdr:nvSpPr>
      <xdr:spPr>
        <a:xfrm>
          <a:off x="175260" y="27439620"/>
          <a:ext cx="4594860" cy="127254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The </a:t>
          </a: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Risk-Free Rate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 the theoretical rate of return an investor can earn from an investment with little to no risk of losing capital.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For companies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the </a:t>
          </a: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capital gains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 added to taxable income using an 80% inclusion rate, and then taxed at the corporate income tax rate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1" u="none" strike="noStrike" baseline="0">
              <a:solidFill>
                <a:sysClr val="windowText" lastClr="000000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(</a:t>
          </a:r>
          <a:r>
            <a:rPr lang="en-ZA" sz="1000" i="1">
              <a:solidFill>
                <a:sysClr val="windowText" lastClr="000000"/>
              </a:solidFill>
              <a:latin typeface="Aptos" panose="020B0004020202020204" pitchFamily="34" charset="0"/>
            </a:rPr>
            <a:t>80% × 27 = 21.6%)</a:t>
          </a:r>
          <a:endParaRPr lang="en-ZA" sz="1000" b="0" i="1" u="none" strike="noStrike">
            <a:solidFill>
              <a:sysClr val="windowText" lastClr="000000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16</xdr:row>
      <xdr:rowOff>0</xdr:rowOff>
    </xdr:from>
    <xdr:to>
      <xdr:col>10</xdr:col>
      <xdr:colOff>1074420</xdr:colOff>
      <xdr:row>21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AC40C1E-C752-4616-8F75-94CC627FC5C0}"/>
            </a:ext>
          </a:extLst>
        </xdr:cNvPr>
        <xdr:cNvSpPr txBox="1"/>
      </xdr:nvSpPr>
      <xdr:spPr>
        <a:xfrm>
          <a:off x="6705600" y="2948940"/>
          <a:ext cx="4320540" cy="92964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For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ease of use in the model, diversification by geogrpahical region was split into 3 main countries, 2 continents, 2 regions and including the 3 major currencies. </a:t>
          </a:r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0</xdr:colOff>
      <xdr:row>86</xdr:row>
      <xdr:rowOff>0</xdr:rowOff>
    </xdr:from>
    <xdr:to>
      <xdr:col>13</xdr:col>
      <xdr:colOff>807720</xdr:colOff>
      <xdr:row>99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65D9F06-D224-4A05-98E8-D6941A12F2E0}"/>
            </a:ext>
          </a:extLst>
        </xdr:cNvPr>
        <xdr:cNvSpPr txBox="1"/>
      </xdr:nvSpPr>
      <xdr:spPr>
        <a:xfrm>
          <a:off x="9951720" y="15773400"/>
          <a:ext cx="4053840" cy="237744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The </a:t>
          </a: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Sharpe Ratio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measures the amount of return an investment generates relative to the level of risk taken,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it is calculated as: </a:t>
          </a:r>
          <a:r>
            <a:rPr lang="en-ZA" sz="1000" b="0" i="1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(Portfolio Return -</a:t>
          </a:r>
          <a:r>
            <a:rPr lang="en-ZA" sz="1000" b="0" i="1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1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Risk-Free Rate)/Standard Deviation.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A Risk Profile is an assessment of an investor’s willingness and ability to take financial risk in pursuit of investment returns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en-ZA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Interpretation Guide: </a:t>
          </a:r>
          <a:endParaRPr lang="en-ZA" sz="1100">
            <a:effectLst/>
          </a:endParaRPr>
        </a:p>
        <a:p>
          <a:pPr marL="628650" lvl="1" indent="-171450">
            <a:buFont typeface="Courier New" panose="02070309020205020404" pitchFamily="49" charset="0"/>
            <a:buChar char="o"/>
          </a:pPr>
          <a:r>
            <a:rPr lang="en-Z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🔴 High</a:t>
          </a:r>
          <a:r>
            <a:rPr lang="en-Z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Risk </a:t>
          </a:r>
        </a:p>
        <a:p>
          <a:pPr marL="628650" lvl="1" indent="-171450">
            <a:buFont typeface="Courier New" panose="02070309020205020404" pitchFamily="49" charset="0"/>
            <a:buChar char="o"/>
          </a:pPr>
          <a:r>
            <a:rPr lang="en-Z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🟡 Moderate</a:t>
          </a:r>
          <a:r>
            <a:rPr lang="en-Z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High Risk </a:t>
          </a:r>
          <a:endParaRPr lang="en-ZA" sz="1000">
            <a:effectLst/>
          </a:endParaRPr>
        </a:p>
        <a:p>
          <a:pPr marL="628650" lvl="1" indent="-171450" eaLnBrk="1" fontAlgn="auto" latinLnBrk="0" hangingPunct="1">
            <a:buFont typeface="Courier New" panose="02070309020205020404" pitchFamily="49" charset="0"/>
            <a:buChar char="o"/>
          </a:pPr>
          <a:r>
            <a:rPr lang="en-Z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🟢 Low</a:t>
          </a:r>
          <a:r>
            <a:rPr lang="en-Z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Moderate Risk </a:t>
          </a:r>
          <a:endParaRPr lang="en-ZA" sz="1000">
            <a:effectLst/>
          </a:endParaRPr>
        </a:p>
      </xdr:txBody>
    </xdr:sp>
    <xdr:clientData/>
  </xdr:twoCellAnchor>
  <xdr:twoCellAnchor>
    <xdr:from>
      <xdr:col>11</xdr:col>
      <xdr:colOff>0</xdr:colOff>
      <xdr:row>106</xdr:row>
      <xdr:rowOff>0</xdr:rowOff>
    </xdr:from>
    <xdr:to>
      <xdr:col>13</xdr:col>
      <xdr:colOff>807720</xdr:colOff>
      <xdr:row>115</xdr:row>
      <xdr:rowOff>7620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D12EA4A-EBD4-458F-8CB4-94B4106D5D58}"/>
            </a:ext>
          </a:extLst>
        </xdr:cNvPr>
        <xdr:cNvSpPr txBox="1"/>
      </xdr:nvSpPr>
      <xdr:spPr>
        <a:xfrm>
          <a:off x="11033760" y="19606260"/>
          <a:ext cx="2971800" cy="165354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The Time-Weighted Rate of Return (TWRR) measures the compound rate of growth of an investment portfolio while removing the impact of external cash flows such as deposits and withdrawals. It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is calculated as: </a:t>
          </a:r>
          <a:r>
            <a:rPr lang="en-ZA" sz="1000" b="0" i="1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Current Portfolio</a:t>
          </a:r>
          <a:r>
            <a:rPr lang="en-ZA" sz="1000" b="0" i="1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Valuation</a:t>
          </a:r>
          <a:r>
            <a:rPr lang="en-ZA" sz="1000" b="0" i="1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/(Previous Month Portfolio Valuation</a:t>
          </a:r>
          <a:r>
            <a:rPr lang="en-ZA" sz="1000" b="0" i="1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+ deposits - withdrawals) - 1</a:t>
          </a:r>
          <a:endParaRPr lang="en-ZA" sz="1000" b="0" i="1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</xdr:colOff>
      <xdr:row>118</xdr:row>
      <xdr:rowOff>15240</xdr:rowOff>
    </xdr:from>
    <xdr:to>
      <xdr:col>12</xdr:col>
      <xdr:colOff>7620</xdr:colOff>
      <xdr:row>138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14FF2D-72DC-497D-96E3-D4DBCD85E7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26</xdr:row>
      <xdr:rowOff>0</xdr:rowOff>
    </xdr:from>
    <xdr:to>
      <xdr:col>12</xdr:col>
      <xdr:colOff>15240</xdr:colOff>
      <xdr:row>45</xdr:row>
      <xdr:rowOff>167640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FBDD2F-A5C6-4979-9CF1-182FE3EE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594360</xdr:colOff>
      <xdr:row>25</xdr:row>
      <xdr:rowOff>167640</xdr:rowOff>
    </xdr:from>
    <xdr:to>
      <xdr:col>23</xdr:col>
      <xdr:colOff>0</xdr:colOff>
      <xdr:row>46</xdr:row>
      <xdr:rowOff>7620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971AF0-B11B-4ABE-AA91-26D341640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4</xdr:row>
      <xdr:rowOff>0</xdr:rowOff>
    </xdr:from>
    <xdr:to>
      <xdr:col>23</xdr:col>
      <xdr:colOff>0</xdr:colOff>
      <xdr:row>24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EEFC2F-0B12-4EDB-BF18-627282EE48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7620</xdr:colOff>
      <xdr:row>118</xdr:row>
      <xdr:rowOff>7620</xdr:rowOff>
    </xdr:from>
    <xdr:to>
      <xdr:col>22</xdr:col>
      <xdr:colOff>594360</xdr:colOff>
      <xdr:row>138</xdr:row>
      <xdr:rowOff>15240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CC3E05-AA3E-C32F-100E-E1F43181A0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4</xdr:row>
      <xdr:rowOff>0</xdr:rowOff>
    </xdr:from>
    <xdr:to>
      <xdr:col>12</xdr:col>
      <xdr:colOff>7620</xdr:colOff>
      <xdr:row>24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2E2047-3992-4470-8A6F-C5FFC34292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7620</xdr:colOff>
      <xdr:row>51</xdr:row>
      <xdr:rowOff>7620</xdr:rowOff>
    </xdr:from>
    <xdr:to>
      <xdr:col>11</xdr:col>
      <xdr:colOff>594360</xdr:colOff>
      <xdr:row>71</xdr:row>
      <xdr:rowOff>15240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81B4A24-2F1E-4AB9-9968-B763D2F65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51</xdr:row>
      <xdr:rowOff>0</xdr:rowOff>
    </xdr:from>
    <xdr:to>
      <xdr:col>22</xdr:col>
      <xdr:colOff>586740</xdr:colOff>
      <xdr:row>71</xdr:row>
      <xdr:rowOff>7620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DFBAEA7-31BB-4490-BA41-495591666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0</xdr:colOff>
      <xdr:row>76</xdr:row>
      <xdr:rowOff>0</xdr:rowOff>
    </xdr:from>
    <xdr:to>
      <xdr:col>12</xdr:col>
      <xdr:colOff>0</xdr:colOff>
      <xdr:row>96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ECBBC031-2788-4B22-A5CB-1F51EAFDD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0</xdr:colOff>
      <xdr:row>76</xdr:row>
      <xdr:rowOff>0</xdr:rowOff>
    </xdr:from>
    <xdr:to>
      <xdr:col>23</xdr:col>
      <xdr:colOff>0</xdr:colOff>
      <xdr:row>96</xdr:row>
      <xdr:rowOff>15240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4CE634EC-4548-4177-90B9-551A76254C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4</xdr:row>
      <xdr:rowOff>0</xdr:rowOff>
    </xdr:from>
    <xdr:to>
      <xdr:col>16</xdr:col>
      <xdr:colOff>0</xdr:colOff>
      <xdr:row>17</xdr:row>
      <xdr:rowOff>45720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3C97B11-BABC-41EF-B4EB-FB37D17E5343}"/>
            </a:ext>
          </a:extLst>
        </xdr:cNvPr>
        <xdr:cNvSpPr txBox="1"/>
      </xdr:nvSpPr>
      <xdr:spPr>
        <a:xfrm>
          <a:off x="9768840" y="746760"/>
          <a:ext cx="4198620" cy="242316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Input Figures are taken from the 'Creamy Delight' Financial Analysis Portfolio (Base Case)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Levered beta</a:t>
          </a:r>
          <a:r>
            <a:rPr lang="en-ZA" sz="1000" b="1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easures a company’s risk including the impact of debt (financial leverage).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Unlevered beta</a:t>
          </a:r>
          <a:r>
            <a:rPr lang="en-ZA" sz="1000" b="1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easures a company’s business risk excluding the impact of debt.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Market risk premium</a:t>
          </a:r>
          <a:r>
            <a:rPr lang="en-ZA" sz="1000" b="1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 t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he extra return investors expect from the overall stock market above the risk-free rate.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Equity risk premium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is t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he extra return investors expect from investing in equities instead of risk-free investments.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Equity Value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represents the value attributable to a company’s shareholders after accounting for debt and other obligations.</a:t>
          </a:r>
        </a:p>
      </xdr:txBody>
    </xdr:sp>
    <xdr:clientData/>
  </xdr:twoCellAnchor>
  <xdr:twoCellAnchor>
    <xdr:from>
      <xdr:col>6</xdr:col>
      <xdr:colOff>0</xdr:colOff>
      <xdr:row>65</xdr:row>
      <xdr:rowOff>0</xdr:rowOff>
    </xdr:from>
    <xdr:to>
      <xdr:col>9</xdr:col>
      <xdr:colOff>1005840</xdr:colOff>
      <xdr:row>73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1536B23-5DF9-46F5-B8A8-B076A39A4DBE}"/>
            </a:ext>
          </a:extLst>
        </xdr:cNvPr>
        <xdr:cNvSpPr txBox="1"/>
      </xdr:nvSpPr>
      <xdr:spPr>
        <a:xfrm>
          <a:off x="5295900" y="12016740"/>
          <a:ext cx="4046220" cy="149352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Terminal Growth Rate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 the assumed long-term growth rate used to estimate a company’s cash flows beyond the discrete forecast period in a DCF valuation.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Terminal EBITDA Multiple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a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valuation multiple applied to a company’s projected terminal-year EBITDA to estimate terminal value at the end of the forecast period.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11</xdr:row>
      <xdr:rowOff>0</xdr:rowOff>
    </xdr:from>
    <xdr:to>
      <xdr:col>16</xdr:col>
      <xdr:colOff>0</xdr:colOff>
      <xdr:row>34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88E8BE9-A16E-415D-ABDA-F1A9598C7DB4}"/>
            </a:ext>
          </a:extLst>
        </xdr:cNvPr>
        <xdr:cNvSpPr txBox="1"/>
      </xdr:nvSpPr>
      <xdr:spPr>
        <a:xfrm>
          <a:off x="11018520" y="2026920"/>
          <a:ext cx="2941320" cy="421386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Unadjusted Cash Flows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is the projected cash flows before applying adjustments such as discounting, financing effects, or scenario assumptions.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Adjusted Cash Flows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the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Cash flows that have been modified to reflect assumptions, risks, taxes, working capital changes, or other financial adjustments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Discounted Cash Flows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the f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uture cash flows converted into present value terms using a discount rate to account for the time value of money.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Enterprise Value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he total value of a business, including both equity and debt, representing the value attributable to all capital providers.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Discrete Forecast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he explicit forecast period in a financial model where individual yearly or monthly financial projections are estimated separately.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Terminal Value 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is</a:t>
          </a:r>
          <a:r>
            <a:rPr lang="en-ZA" sz="1000" b="0" i="0" u="none" strike="noStrike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</a:t>
          </a:r>
          <a:r>
            <a:rPr lang="en-ZA" sz="1000" b="0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he estimated value of a business beyond the explicit forecast period, representing the present value of all future cash flows after the discrete forecast ends.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12</xdr:col>
      <xdr:colOff>0</xdr:colOff>
      <xdr:row>27</xdr:row>
      <xdr:rowOff>7620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019005E-9B69-4156-95AE-74A2665AA475}"/>
            </a:ext>
          </a:extLst>
        </xdr:cNvPr>
        <xdr:cNvSpPr txBox="1"/>
      </xdr:nvSpPr>
      <xdr:spPr>
        <a:xfrm>
          <a:off x="213360" y="3474720"/>
          <a:ext cx="10066020" cy="1470660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 b="1" i="0" u="none" strike="noStrike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NOTES:</a:t>
          </a:r>
        </a:p>
        <a:p>
          <a:endParaRPr lang="en-ZA" sz="1000" b="0" i="0" u="none" strike="noStrike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Enterprise Value </a:t>
          </a:r>
          <a:r>
            <a:rPr lang="en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 Equity</a:t>
          </a:r>
          <a:r>
            <a:rPr lang="en-ZA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Value</a:t>
          </a:r>
          <a:r>
            <a:rPr lang="en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+ Net Debt.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LTM </a:t>
          </a:r>
          <a:r>
            <a:rPr lang="en-ZA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means Last Twelve Months.</a:t>
          </a:r>
          <a:r>
            <a:rPr lang="en-ZA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ZA" sz="1000" b="0" i="0" u="none" strike="noStrike" baseline="0">
            <a:solidFill>
              <a:schemeClr val="dk1"/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FY+1</a:t>
          </a:r>
          <a:r>
            <a:rPr lang="en-ZA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means Fiscal Year Plus One.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P/E</a:t>
          </a:r>
          <a:r>
            <a:rPr lang="en-ZA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stands for Price-to-Earnings Ratio, It measures how much investors are willing to pay for each unit of a company’s earnings, </a:t>
          </a:r>
          <a:r>
            <a:rPr lang="en-ZA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en-ZA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alculated as: </a:t>
          </a:r>
          <a:r>
            <a:rPr lang="en-ZA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Equity</a:t>
          </a:r>
          <a:r>
            <a:rPr lang="en-ZA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Value/</a:t>
          </a:r>
          <a:r>
            <a:rPr lang="en-ZA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Net Income.</a:t>
          </a:r>
          <a:r>
            <a:rPr lang="en-ZA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ZA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Valuation multiples </a:t>
          </a:r>
          <a:r>
            <a:rPr lang="en-ZA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are ratios used to estimate a company’s value relative to a financial metric such as earnings, revenue, or EBITDA, they help to compare similar companies. 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en-ZA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endParaRPr lang="en-ZA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endParaRPr lang="en-ZA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DB173-1944-4442-B4E9-EBA7CFE1C061}">
  <dimension ref="B2:W12"/>
  <sheetViews>
    <sheetView showGridLines="0" tabSelected="1" workbookViewId="0">
      <selection activeCell="N11" sqref="N11"/>
    </sheetView>
  </sheetViews>
  <sheetFormatPr defaultRowHeight="14.4" x14ac:dyDescent="0.3"/>
  <cols>
    <col min="1" max="1" width="3" customWidth="1"/>
    <col min="10" max="10" width="8.77734375" customWidth="1"/>
    <col min="11" max="11" width="12.109375" customWidth="1"/>
    <col min="13" max="13" width="11.88671875" customWidth="1"/>
    <col min="14" max="14" width="12.33203125" customWidth="1"/>
    <col min="23" max="23" width="6.44140625" customWidth="1"/>
  </cols>
  <sheetData>
    <row r="2" spans="2:23" ht="14.4" customHeight="1" x14ac:dyDescent="0.3">
      <c r="B2" s="312" t="s">
        <v>262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</row>
    <row r="3" spans="2:23" ht="14.4" customHeight="1" x14ac:dyDescent="0.3"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</row>
    <row r="5" spans="2:23" ht="25.2" customHeight="1" x14ac:dyDescent="0.3">
      <c r="J5" s="313" t="s">
        <v>87</v>
      </c>
      <c r="K5" s="314"/>
      <c r="M5" s="313" t="s">
        <v>92</v>
      </c>
      <c r="N5" s="314"/>
    </row>
    <row r="6" spans="2:23" ht="25.05" customHeight="1" x14ac:dyDescent="0.3">
      <c r="J6" s="222" t="s">
        <v>88</v>
      </c>
      <c r="K6" s="281" t="s">
        <v>86</v>
      </c>
      <c r="M6" s="221" t="s">
        <v>94</v>
      </c>
      <c r="N6" s="219">
        <v>1000</v>
      </c>
    </row>
    <row r="7" spans="2:23" ht="25.05" customHeight="1" x14ac:dyDescent="0.3">
      <c r="J7" s="222" t="s">
        <v>90</v>
      </c>
      <c r="K7" s="281" t="s">
        <v>256</v>
      </c>
      <c r="M7" s="221" t="s">
        <v>93</v>
      </c>
      <c r="N7" s="220">
        <f>1000</f>
        <v>1000</v>
      </c>
    </row>
    <row r="8" spans="2:23" ht="25.05" customHeight="1" x14ac:dyDescent="0.3">
      <c r="J8" s="222" t="s">
        <v>91</v>
      </c>
      <c r="K8" s="281" t="s">
        <v>257</v>
      </c>
    </row>
    <row r="9" spans="2:23" ht="25.05" customHeight="1" x14ac:dyDescent="0.3">
      <c r="J9" s="222" t="s">
        <v>252</v>
      </c>
      <c r="K9" s="281" t="s">
        <v>258</v>
      </c>
    </row>
    <row r="10" spans="2:23" ht="25.05" customHeight="1" x14ac:dyDescent="0.3">
      <c r="J10" s="222" t="s">
        <v>253</v>
      </c>
      <c r="K10" s="281" t="s">
        <v>259</v>
      </c>
    </row>
    <row r="11" spans="2:23" ht="25.05" customHeight="1" x14ac:dyDescent="0.3">
      <c r="J11" s="222" t="s">
        <v>254</v>
      </c>
      <c r="K11" s="281" t="s">
        <v>260</v>
      </c>
    </row>
    <row r="12" spans="2:23" ht="25.05" customHeight="1" x14ac:dyDescent="0.3">
      <c r="J12" s="222" t="s">
        <v>255</v>
      </c>
      <c r="K12" s="281" t="s">
        <v>261</v>
      </c>
    </row>
  </sheetData>
  <mergeCells count="3">
    <mergeCell ref="B2:W3"/>
    <mergeCell ref="J5:K5"/>
    <mergeCell ref="M5:N5"/>
  </mergeCells>
  <hyperlinks>
    <hyperlink ref="K6" location="Inputs!A1" display="Inputs " xr:uid="{195DA68C-C492-4009-9BCA-8EEF471D3A0B}"/>
    <hyperlink ref="K7" location="Model!A1" display="Model " xr:uid="{39969B7C-4CFA-4413-82BB-32EC366BD58C}"/>
    <hyperlink ref="K8" location="Outputs!A1" display="Outputs " xr:uid="{5F8AFB18-A4D9-4D55-86F7-C3654005E6E0}"/>
    <hyperlink ref="K9" location="'DCF Inputs'!A1" display="DCF Inputs " xr:uid="{F5688344-EBAF-4D04-8AB3-379E3F4629D2}"/>
    <hyperlink ref="K10" location="'DCF Model'!A1" display="DCF Model " xr:uid="{792A32D3-2490-4E7B-9A87-1508755C7FD5}"/>
    <hyperlink ref="K11" location="'DCF Outputs'!A1" display="DCF Outputs " xr:uid="{74E89839-5478-431A-BFB1-D2043512F6E8}"/>
    <hyperlink ref="K12" location="'DCF Comps '!A1" display="DCF Comps" xr:uid="{2EDECC8C-9290-4088-A320-5F73A7262F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80E0E-FBC9-427D-9120-185150FC3F80}">
  <dimension ref="A2:M148"/>
  <sheetViews>
    <sheetView showGridLines="0" topLeftCell="A133" workbookViewId="0">
      <selection activeCell="G70" sqref="G70"/>
    </sheetView>
  </sheetViews>
  <sheetFormatPr defaultRowHeight="14.4" x14ac:dyDescent="0.3"/>
  <cols>
    <col min="1" max="1" width="2.5546875" style="3" customWidth="1"/>
    <col min="2" max="4" width="16.77734375" style="3" customWidth="1"/>
    <col min="5" max="13" width="16.77734375" style="12" customWidth="1"/>
    <col min="14" max="14" width="8.88671875" customWidth="1"/>
  </cols>
  <sheetData>
    <row r="2" spans="1:13" ht="14.4" customHeight="1" x14ac:dyDescent="0.3">
      <c r="B2" s="296" t="s">
        <v>119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</row>
    <row r="3" spans="1:13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</row>
    <row r="4" spans="1:13" x14ac:dyDescent="0.3">
      <c r="E4" s="3"/>
      <c r="F4" s="3"/>
      <c r="G4" s="3"/>
      <c r="H4" s="3"/>
      <c r="I4" s="3"/>
      <c r="J4" s="3"/>
      <c r="K4" s="3"/>
      <c r="L4" s="3"/>
      <c r="M4" s="3"/>
    </row>
    <row r="5" spans="1:13" ht="27.6" x14ac:dyDescent="0.3">
      <c r="B5" s="294" t="s">
        <v>110</v>
      </c>
      <c r="C5" s="294"/>
      <c r="D5" s="226" t="s">
        <v>61</v>
      </c>
      <c r="E5" s="227" t="s">
        <v>23</v>
      </c>
      <c r="F5" s="227" t="s">
        <v>24</v>
      </c>
      <c r="G5" s="227" t="s">
        <v>25</v>
      </c>
      <c r="H5" s="227" t="s">
        <v>26</v>
      </c>
      <c r="I5" s="227" t="s">
        <v>27</v>
      </c>
      <c r="J5" s="227" t="s">
        <v>28</v>
      </c>
      <c r="K5" s="227" t="s">
        <v>29</v>
      </c>
      <c r="L5" s="227" t="s">
        <v>30</v>
      </c>
      <c r="M5" s="227" t="s">
        <v>31</v>
      </c>
    </row>
    <row r="6" spans="1:13" x14ac:dyDescent="0.3">
      <c r="B6" s="302" t="s">
        <v>16</v>
      </c>
      <c r="C6" s="302"/>
      <c r="D6" s="223">
        <v>10000000</v>
      </c>
      <c r="E6" s="224">
        <v>0.99</v>
      </c>
      <c r="F6" s="224">
        <v>0</v>
      </c>
      <c r="G6" s="224">
        <v>0</v>
      </c>
      <c r="H6" s="224">
        <v>0</v>
      </c>
      <c r="I6" s="224">
        <v>0</v>
      </c>
      <c r="J6" s="224">
        <v>0</v>
      </c>
      <c r="K6" s="224">
        <v>0.01</v>
      </c>
      <c r="L6" s="224">
        <v>0</v>
      </c>
      <c r="M6" s="225">
        <f>SUM(E6:L6)</f>
        <v>1</v>
      </c>
    </row>
    <row r="7" spans="1:13" x14ac:dyDescent="0.3">
      <c r="B7" s="303" t="s">
        <v>19</v>
      </c>
      <c r="C7" s="303"/>
      <c r="D7" s="75">
        <v>2500000</v>
      </c>
      <c r="E7" s="27">
        <v>0.33500000000000002</v>
      </c>
      <c r="F7" s="27">
        <v>0.35799999999999998</v>
      </c>
      <c r="G7" s="27">
        <v>2.8000000000000001E-2</v>
      </c>
      <c r="H7" s="27">
        <v>0.125</v>
      </c>
      <c r="I7" s="27">
        <v>0</v>
      </c>
      <c r="J7" s="27">
        <f>9.1%+2.3%</f>
        <v>0.11399999999999999</v>
      </c>
      <c r="K7" s="27">
        <v>2.1000000000000001E-2</v>
      </c>
      <c r="L7" s="27">
        <v>1.9E-2</v>
      </c>
      <c r="M7" s="28">
        <f t="shared" ref="M7:M17" si="0">SUM(E7:L7)</f>
        <v>1</v>
      </c>
    </row>
    <row r="8" spans="1:13" x14ac:dyDescent="0.3">
      <c r="B8" s="303" t="s">
        <v>18</v>
      </c>
      <c r="C8" s="303"/>
      <c r="D8" s="75">
        <v>15000000</v>
      </c>
      <c r="E8" s="27">
        <v>0.41110000000000002</v>
      </c>
      <c r="F8" s="27">
        <v>0.28720000000000001</v>
      </c>
      <c r="G8" s="27">
        <v>0</v>
      </c>
      <c r="H8" s="27">
        <v>0.105</v>
      </c>
      <c r="I8" s="27">
        <v>0</v>
      </c>
      <c r="J8" s="27">
        <f>3.32%+0.63%</f>
        <v>3.95E-2</v>
      </c>
      <c r="K8" s="27">
        <f>15.69%+0.03%</f>
        <v>0.15719999999999998</v>
      </c>
      <c r="L8" s="27">
        <v>0</v>
      </c>
      <c r="M8" s="28">
        <f>SUM(E8:L8)</f>
        <v>1</v>
      </c>
    </row>
    <row r="9" spans="1:13" x14ac:dyDescent="0.3">
      <c r="B9" s="303" t="s">
        <v>101</v>
      </c>
      <c r="C9" s="303"/>
      <c r="D9" s="75">
        <v>7500000</v>
      </c>
      <c r="E9" s="27">
        <v>4.4699999999999997E-2</v>
      </c>
      <c r="F9" s="27">
        <v>0.2979</v>
      </c>
      <c r="G9" s="27">
        <v>9.2700000000000005E-2</v>
      </c>
      <c r="H9" s="27">
        <v>0.38340000000000002</v>
      </c>
      <c r="I9" s="27">
        <v>0</v>
      </c>
      <c r="J9" s="27">
        <f>0.07%+2.04%</f>
        <v>2.1100000000000001E-2</v>
      </c>
      <c r="K9" s="27">
        <f>15.39%+0.55%</f>
        <v>0.15940000000000001</v>
      </c>
      <c r="L9" s="27">
        <v>8.0000000000000004E-4</v>
      </c>
      <c r="M9" s="28">
        <f t="shared" si="0"/>
        <v>1</v>
      </c>
    </row>
    <row r="10" spans="1:13" x14ac:dyDescent="0.3">
      <c r="B10" s="303" t="s">
        <v>17</v>
      </c>
      <c r="C10" s="303"/>
      <c r="D10" s="75">
        <v>5000000</v>
      </c>
      <c r="E10" s="27">
        <v>2.1499999999999998E-2</v>
      </c>
      <c r="F10" s="27">
        <v>0</v>
      </c>
      <c r="G10" s="27">
        <v>0.2722</v>
      </c>
      <c r="H10" s="27">
        <v>0.49769999999999998</v>
      </c>
      <c r="I10" s="27">
        <v>0</v>
      </c>
      <c r="J10" s="27">
        <v>0</v>
      </c>
      <c r="K10" s="27">
        <f>19.45%+1.14%</f>
        <v>0.2059</v>
      </c>
      <c r="L10" s="27">
        <v>2.7000000000000001E-3</v>
      </c>
      <c r="M10" s="28">
        <f t="shared" si="0"/>
        <v>1</v>
      </c>
    </row>
    <row r="11" spans="1:13" x14ac:dyDescent="0.3">
      <c r="B11" s="303" t="s">
        <v>100</v>
      </c>
      <c r="C11" s="303"/>
      <c r="D11" s="75">
        <v>10000000</v>
      </c>
      <c r="E11" s="27">
        <v>0</v>
      </c>
      <c r="F11" s="27">
        <v>0</v>
      </c>
      <c r="G11" s="27">
        <v>0</v>
      </c>
      <c r="H11" s="27">
        <v>0.90810000000000002</v>
      </c>
      <c r="I11" s="27">
        <v>0</v>
      </c>
      <c r="J11" s="27">
        <v>0</v>
      </c>
      <c r="K11" s="27">
        <v>9.1899999999999996E-2</v>
      </c>
      <c r="L11" s="27">
        <v>0</v>
      </c>
      <c r="M11" s="28">
        <f t="shared" si="0"/>
        <v>1</v>
      </c>
    </row>
    <row r="12" spans="1:13" s="1" customFormat="1" ht="15" thickBot="1" x14ac:dyDescent="0.35">
      <c r="A12" s="4"/>
      <c r="B12" s="304" t="s">
        <v>5</v>
      </c>
      <c r="C12" s="304"/>
      <c r="D12" s="266">
        <f>SUM(D6:D11)</f>
        <v>50000000</v>
      </c>
      <c r="E12" s="267">
        <f>SUMPRODUCT($D$6:$D$11,E6:E11)</f>
        <v>17346750</v>
      </c>
      <c r="F12" s="267">
        <f>SUMPRODUCT($D$6:$D$11,F6:F11)</f>
        <v>7437250</v>
      </c>
      <c r="G12" s="267">
        <f t="shared" ref="G12:L12" si="1">SUMPRODUCT($D$6:$D$11,G6:G11)</f>
        <v>2126250</v>
      </c>
      <c r="H12" s="267">
        <f t="shared" si="1"/>
        <v>16332500</v>
      </c>
      <c r="I12" s="267">
        <f t="shared" si="1"/>
        <v>0</v>
      </c>
      <c r="J12" s="267">
        <f t="shared" si="1"/>
        <v>1035750</v>
      </c>
      <c r="K12" s="267">
        <f t="shared" si="1"/>
        <v>5654500</v>
      </c>
      <c r="L12" s="267">
        <f t="shared" si="1"/>
        <v>67000</v>
      </c>
      <c r="M12" s="267">
        <f>SUM(E12:L12)</f>
        <v>50000000</v>
      </c>
    </row>
    <row r="13" spans="1:13" s="1" customFormat="1" x14ac:dyDescent="0.3">
      <c r="A13" s="4"/>
      <c r="B13" s="265"/>
      <c r="C13" s="265"/>
      <c r="D13" s="76"/>
      <c r="E13" s="36"/>
      <c r="F13" s="36"/>
      <c r="G13" s="36"/>
      <c r="H13" s="36"/>
      <c r="I13" s="36"/>
      <c r="J13" s="36"/>
      <c r="K13" s="36"/>
      <c r="L13" s="36"/>
      <c r="M13" s="36"/>
    </row>
    <row r="14" spans="1:13" ht="25.8" customHeight="1" x14ac:dyDescent="0.3">
      <c r="B14" s="306" t="s">
        <v>111</v>
      </c>
      <c r="C14" s="306"/>
      <c r="D14" s="229" t="s">
        <v>61</v>
      </c>
      <c r="E14" s="227" t="s">
        <v>23</v>
      </c>
      <c r="F14" s="227" t="s">
        <v>24</v>
      </c>
      <c r="G14" s="227" t="s">
        <v>25</v>
      </c>
      <c r="H14" s="227" t="s">
        <v>26</v>
      </c>
      <c r="I14" s="227" t="s">
        <v>27</v>
      </c>
      <c r="J14" s="227" t="s">
        <v>28</v>
      </c>
      <c r="K14" s="227" t="s">
        <v>29</v>
      </c>
      <c r="L14" s="227" t="s">
        <v>30</v>
      </c>
      <c r="M14" s="227" t="s">
        <v>31</v>
      </c>
    </row>
    <row r="15" spans="1:13" x14ac:dyDescent="0.3">
      <c r="B15" s="301" t="s">
        <v>103</v>
      </c>
      <c r="C15" s="301"/>
      <c r="D15" s="223">
        <v>5000000</v>
      </c>
      <c r="E15" s="224">
        <v>1</v>
      </c>
      <c r="F15" s="224">
        <v>0</v>
      </c>
      <c r="G15" s="224">
        <v>0</v>
      </c>
      <c r="H15" s="224">
        <v>0</v>
      </c>
      <c r="I15" s="224">
        <v>0</v>
      </c>
      <c r="J15" s="224">
        <v>0</v>
      </c>
      <c r="K15" s="224">
        <v>0</v>
      </c>
      <c r="L15" s="224">
        <v>0</v>
      </c>
      <c r="M15" s="228">
        <f t="shared" si="0"/>
        <v>1</v>
      </c>
    </row>
    <row r="16" spans="1:13" x14ac:dyDescent="0.3">
      <c r="B16" s="284" t="s">
        <v>7</v>
      </c>
      <c r="C16" s="284"/>
      <c r="D16" s="75">
        <v>10000000</v>
      </c>
      <c r="E16" s="27">
        <v>0</v>
      </c>
      <c r="F16" s="27">
        <v>0</v>
      </c>
      <c r="G16" s="27">
        <v>0</v>
      </c>
      <c r="H16" s="27">
        <v>0</v>
      </c>
      <c r="I16" s="27">
        <v>1</v>
      </c>
      <c r="J16" s="27">
        <v>0</v>
      </c>
      <c r="K16" s="27">
        <v>0</v>
      </c>
      <c r="L16" s="27">
        <v>0</v>
      </c>
      <c r="M16" s="35">
        <f t="shared" si="0"/>
        <v>1</v>
      </c>
    </row>
    <row r="17" spans="2:13" x14ac:dyDescent="0.3">
      <c r="B17" s="284" t="s">
        <v>20</v>
      </c>
      <c r="C17" s="284"/>
      <c r="D17" s="75">
        <v>5000000</v>
      </c>
      <c r="E17" s="27">
        <v>0.97909999999999997</v>
      </c>
      <c r="F17" s="27">
        <v>0</v>
      </c>
      <c r="G17" s="27">
        <v>0</v>
      </c>
      <c r="H17" s="27">
        <v>0</v>
      </c>
      <c r="I17" s="27">
        <v>0</v>
      </c>
      <c r="J17" s="27">
        <v>1.8599999999999998E-2</v>
      </c>
      <c r="K17" s="27">
        <v>2.3E-3</v>
      </c>
      <c r="L17" s="27">
        <v>0</v>
      </c>
      <c r="M17" s="35">
        <f t="shared" si="0"/>
        <v>0.99999999999999989</v>
      </c>
    </row>
    <row r="18" spans="2:13" x14ac:dyDescent="0.3">
      <c r="B18" s="284" t="s">
        <v>21</v>
      </c>
      <c r="C18" s="284"/>
      <c r="D18" s="75">
        <v>2500000</v>
      </c>
      <c r="E18" s="27">
        <v>1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35">
        <f t="shared" ref="M18:M23" si="2">SUM(E18:L18)</f>
        <v>1</v>
      </c>
    </row>
    <row r="19" spans="2:13" x14ac:dyDescent="0.3">
      <c r="B19" s="284" t="s">
        <v>104</v>
      </c>
      <c r="C19" s="284"/>
      <c r="D19" s="75">
        <v>3750000</v>
      </c>
      <c r="E19" s="27">
        <v>0</v>
      </c>
      <c r="F19" s="27">
        <v>0.99590000000000001</v>
      </c>
      <c r="G19" s="27">
        <v>0</v>
      </c>
      <c r="H19" s="27">
        <v>0</v>
      </c>
      <c r="I19" s="27">
        <v>0</v>
      </c>
      <c r="J19" s="27">
        <v>0</v>
      </c>
      <c r="K19" s="27">
        <v>4.1000000000000003E-3</v>
      </c>
      <c r="L19" s="27">
        <v>0</v>
      </c>
      <c r="M19" s="35">
        <f t="shared" si="2"/>
        <v>1</v>
      </c>
    </row>
    <row r="20" spans="2:13" x14ac:dyDescent="0.3">
      <c r="B20" s="284" t="s">
        <v>45</v>
      </c>
      <c r="C20" s="284"/>
      <c r="D20" s="75">
        <v>3750000</v>
      </c>
      <c r="E20" s="27">
        <v>0</v>
      </c>
      <c r="F20" s="27">
        <v>0.95720000000000005</v>
      </c>
      <c r="G20" s="27">
        <v>0</v>
      </c>
      <c r="H20" s="27">
        <v>0</v>
      </c>
      <c r="I20" s="27">
        <v>0</v>
      </c>
      <c r="J20" s="27">
        <v>4.24E-2</v>
      </c>
      <c r="K20" s="27">
        <v>4.0000000000000002E-4</v>
      </c>
      <c r="L20" s="27">
        <v>0</v>
      </c>
      <c r="M20" s="35">
        <f t="shared" si="2"/>
        <v>1</v>
      </c>
    </row>
    <row r="21" spans="2:13" x14ac:dyDescent="0.3">
      <c r="B21" s="284" t="s">
        <v>46</v>
      </c>
      <c r="C21" s="284"/>
      <c r="D21" s="75">
        <v>12500000</v>
      </c>
      <c r="E21" s="27">
        <v>0</v>
      </c>
      <c r="F21" s="27">
        <v>0.99219999999999997</v>
      </c>
      <c r="G21" s="27">
        <v>0</v>
      </c>
      <c r="H21" s="27">
        <v>0</v>
      </c>
      <c r="I21" s="27">
        <v>0</v>
      </c>
      <c r="J21" s="27">
        <v>7.4999999999999997E-3</v>
      </c>
      <c r="K21" s="27">
        <v>2.9999999999999997E-4</v>
      </c>
      <c r="L21" s="27">
        <v>0</v>
      </c>
      <c r="M21" s="35">
        <f t="shared" si="2"/>
        <v>0.99999999999999989</v>
      </c>
    </row>
    <row r="22" spans="2:13" x14ac:dyDescent="0.3">
      <c r="B22" s="284" t="s">
        <v>47</v>
      </c>
      <c r="C22" s="284"/>
      <c r="D22" s="75">
        <v>5000000</v>
      </c>
      <c r="E22" s="27">
        <v>0.99739999999999995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2.5999999999999999E-3</v>
      </c>
      <c r="L22" s="27">
        <v>0</v>
      </c>
      <c r="M22" s="35">
        <f t="shared" si="2"/>
        <v>1</v>
      </c>
    </row>
    <row r="23" spans="2:13" x14ac:dyDescent="0.3">
      <c r="B23" s="284" t="s">
        <v>13</v>
      </c>
      <c r="C23" s="284"/>
      <c r="D23" s="75">
        <v>2500000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1</v>
      </c>
      <c r="L23" s="27">
        <v>0</v>
      </c>
      <c r="M23" s="35">
        <f t="shared" si="2"/>
        <v>1</v>
      </c>
    </row>
    <row r="24" spans="2:13" ht="15" thickBot="1" x14ac:dyDescent="0.35">
      <c r="B24" s="307" t="s">
        <v>5</v>
      </c>
      <c r="C24" s="307"/>
      <c r="D24" s="261">
        <f>SUM(D15:D23)</f>
        <v>50000000</v>
      </c>
      <c r="E24" s="257">
        <f t="shared" ref="E24:L24" si="3">SUMPRODUCT($D$15:$D$23,E15:E23)</f>
        <v>17382500</v>
      </c>
      <c r="F24" s="257">
        <f>SUMPRODUCT($D$15:$D$23,F15:F23)</f>
        <v>19726625</v>
      </c>
      <c r="G24" s="257">
        <f t="shared" si="3"/>
        <v>0</v>
      </c>
      <c r="H24" s="257">
        <f t="shared" si="3"/>
        <v>0</v>
      </c>
      <c r="I24" s="257">
        <f t="shared" si="3"/>
        <v>10000000</v>
      </c>
      <c r="J24" s="257">
        <f t="shared" si="3"/>
        <v>345750</v>
      </c>
      <c r="K24" s="257">
        <f t="shared" si="3"/>
        <v>2545125</v>
      </c>
      <c r="L24" s="257">
        <f t="shared" si="3"/>
        <v>0</v>
      </c>
      <c r="M24" s="257">
        <f>SUM(E24:L24)</f>
        <v>50000000</v>
      </c>
    </row>
    <row r="25" spans="2:13" x14ac:dyDescent="0.3">
      <c r="D25" s="77"/>
    </row>
    <row r="26" spans="2:13" x14ac:dyDescent="0.3">
      <c r="B26" s="294" t="s">
        <v>110</v>
      </c>
      <c r="C26" s="294"/>
      <c r="D26" s="305" t="s">
        <v>61</v>
      </c>
      <c r="E26" s="298" t="s">
        <v>77</v>
      </c>
      <c r="F26" s="289" t="s">
        <v>76</v>
      </c>
      <c r="G26" s="289" t="s">
        <v>81</v>
      </c>
      <c r="H26" s="289" t="s">
        <v>78</v>
      </c>
      <c r="I26" s="289" t="s">
        <v>84</v>
      </c>
      <c r="J26" s="289" t="s">
        <v>82</v>
      </c>
      <c r="K26" s="289" t="s">
        <v>83</v>
      </c>
      <c r="L26" s="289" t="s">
        <v>80</v>
      </c>
      <c r="M26" s="308" t="s">
        <v>31</v>
      </c>
    </row>
    <row r="27" spans="2:13" x14ac:dyDescent="0.3">
      <c r="B27" s="294"/>
      <c r="C27" s="294"/>
      <c r="D27" s="305"/>
      <c r="E27" s="298"/>
      <c r="F27" s="289"/>
      <c r="G27" s="289"/>
      <c r="H27" s="289"/>
      <c r="I27" s="289"/>
      <c r="J27" s="289"/>
      <c r="K27" s="289"/>
      <c r="L27" s="289"/>
      <c r="M27" s="308"/>
    </row>
    <row r="28" spans="2:13" x14ac:dyDescent="0.3">
      <c r="B28" s="301" t="s">
        <v>16</v>
      </c>
      <c r="C28" s="301"/>
      <c r="D28" s="230">
        <f t="shared" ref="D28:D33" si="4">D6</f>
        <v>10000000</v>
      </c>
      <c r="E28" s="49">
        <v>0</v>
      </c>
      <c r="F28" s="49">
        <v>0.89</v>
      </c>
      <c r="G28" s="49">
        <v>7.0000000000000007E-2</v>
      </c>
      <c r="H28" s="49">
        <v>0</v>
      </c>
      <c r="I28" s="49">
        <v>0.04</v>
      </c>
      <c r="J28" s="49">
        <v>0</v>
      </c>
      <c r="K28" s="49">
        <v>0</v>
      </c>
      <c r="L28" s="49">
        <v>0</v>
      </c>
      <c r="M28" s="231">
        <f t="shared" ref="M28:M34" si="5">SUM(E28:L28)</f>
        <v>1</v>
      </c>
    </row>
    <row r="29" spans="2:13" x14ac:dyDescent="0.3">
      <c r="B29" s="284" t="s">
        <v>19</v>
      </c>
      <c r="C29" s="284"/>
      <c r="D29" s="63">
        <f t="shared" si="4"/>
        <v>2500000</v>
      </c>
      <c r="E29" s="32">
        <v>0.56000000000000005</v>
      </c>
      <c r="F29" s="32">
        <v>0.22600000000000001</v>
      </c>
      <c r="G29" s="32">
        <v>8.4000000000000005E-2</v>
      </c>
      <c r="H29" s="32">
        <v>0.05</v>
      </c>
      <c r="I29" s="32">
        <v>2.4E-2</v>
      </c>
      <c r="J29" s="32">
        <v>0</v>
      </c>
      <c r="K29" s="32">
        <v>0</v>
      </c>
      <c r="L29" s="32">
        <v>5.6000000000000001E-2</v>
      </c>
      <c r="M29" s="38">
        <f t="shared" si="5"/>
        <v>1</v>
      </c>
    </row>
    <row r="30" spans="2:13" x14ac:dyDescent="0.3">
      <c r="B30" s="284" t="s">
        <v>18</v>
      </c>
      <c r="C30" s="284"/>
      <c r="D30" s="63">
        <f t="shared" si="4"/>
        <v>15000000</v>
      </c>
      <c r="E30" s="32">
        <v>0.63500000000000001</v>
      </c>
      <c r="F30" s="32">
        <v>0.155</v>
      </c>
      <c r="G30" s="32">
        <v>0.02</v>
      </c>
      <c r="H30" s="32">
        <v>0.02</v>
      </c>
      <c r="I30" s="32">
        <v>0.16</v>
      </c>
      <c r="J30" s="32">
        <v>0.01</v>
      </c>
      <c r="K30" s="32">
        <v>0</v>
      </c>
      <c r="L30" s="32">
        <v>0</v>
      </c>
      <c r="M30" s="38">
        <f t="shared" si="5"/>
        <v>1</v>
      </c>
    </row>
    <row r="31" spans="2:13" x14ac:dyDescent="0.3">
      <c r="B31" s="284" t="s">
        <v>101</v>
      </c>
      <c r="C31" s="284"/>
      <c r="D31" s="63">
        <f t="shared" si="4"/>
        <v>7500000</v>
      </c>
      <c r="E31" s="32">
        <v>0.83909999999999996</v>
      </c>
      <c r="F31" s="32">
        <v>0.13089999999999999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0.03</v>
      </c>
      <c r="M31" s="38">
        <f t="shared" si="5"/>
        <v>1</v>
      </c>
    </row>
    <row r="32" spans="2:13" x14ac:dyDescent="0.3">
      <c r="B32" s="284" t="s">
        <v>17</v>
      </c>
      <c r="C32" s="284"/>
      <c r="D32" s="63">
        <f t="shared" si="4"/>
        <v>5000000</v>
      </c>
      <c r="E32" s="32">
        <v>0.71879999999999999</v>
      </c>
      <c r="F32" s="32">
        <v>9.7199999999999995E-2</v>
      </c>
      <c r="G32" s="32">
        <v>0.113</v>
      </c>
      <c r="H32" s="32">
        <v>0</v>
      </c>
      <c r="I32" s="32">
        <v>4.7E-2</v>
      </c>
      <c r="J32" s="32">
        <v>0</v>
      </c>
      <c r="K32" s="32">
        <v>0</v>
      </c>
      <c r="L32" s="32">
        <v>2.4E-2</v>
      </c>
      <c r="M32" s="38">
        <f t="shared" si="5"/>
        <v>1</v>
      </c>
    </row>
    <row r="33" spans="1:13" x14ac:dyDescent="0.3">
      <c r="B33" s="284" t="s">
        <v>100</v>
      </c>
      <c r="C33" s="284"/>
      <c r="D33" s="63">
        <f t="shared" si="4"/>
        <v>10000000</v>
      </c>
      <c r="E33" s="32">
        <v>1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8">
        <f t="shared" si="5"/>
        <v>1</v>
      </c>
    </row>
    <row r="34" spans="1:13" s="2" customFormat="1" ht="15" thickBot="1" x14ac:dyDescent="0.35">
      <c r="A34" s="7"/>
      <c r="B34" s="309" t="s">
        <v>5</v>
      </c>
      <c r="C34" s="309"/>
      <c r="D34" s="261">
        <f>SUM(D28:D33)</f>
        <v>50000000</v>
      </c>
      <c r="E34" s="264">
        <f>SUMPRODUCT($D$28:$D$33,E28:E33)</f>
        <v>30812250</v>
      </c>
      <c r="F34" s="264">
        <f t="shared" ref="F34:L34" si="6">SUMPRODUCT($D$28:$D$33,F28:F33)</f>
        <v>13257750</v>
      </c>
      <c r="G34" s="264">
        <f t="shared" si="6"/>
        <v>1775000</v>
      </c>
      <c r="H34" s="264">
        <f t="shared" si="6"/>
        <v>425000</v>
      </c>
      <c r="I34" s="264">
        <f t="shared" si="6"/>
        <v>3095000</v>
      </c>
      <c r="J34" s="264">
        <f t="shared" si="6"/>
        <v>150000</v>
      </c>
      <c r="K34" s="264">
        <f t="shared" si="6"/>
        <v>0</v>
      </c>
      <c r="L34" s="264">
        <f t="shared" si="6"/>
        <v>485000</v>
      </c>
      <c r="M34" s="264">
        <f t="shared" si="5"/>
        <v>50000000</v>
      </c>
    </row>
    <row r="35" spans="1:13" s="2" customFormat="1" x14ac:dyDescent="0.3">
      <c r="A35" s="7"/>
      <c r="B35" s="41"/>
      <c r="C35" s="41"/>
      <c r="D35" s="78"/>
      <c r="E35" s="42"/>
      <c r="F35" s="42"/>
      <c r="G35" s="42"/>
      <c r="H35" s="42"/>
      <c r="I35" s="42"/>
      <c r="J35" s="42"/>
      <c r="K35" s="42"/>
      <c r="L35" s="42"/>
      <c r="M35" s="42"/>
    </row>
    <row r="36" spans="1:13" x14ac:dyDescent="0.3">
      <c r="B36" s="294" t="s">
        <v>111</v>
      </c>
      <c r="C36" s="294"/>
      <c r="D36" s="305" t="s">
        <v>61</v>
      </c>
      <c r="E36" s="298" t="s">
        <v>77</v>
      </c>
      <c r="F36" s="289" t="s">
        <v>76</v>
      </c>
      <c r="G36" s="289" t="s">
        <v>81</v>
      </c>
      <c r="H36" s="289" t="s">
        <v>78</v>
      </c>
      <c r="I36" s="289" t="s">
        <v>84</v>
      </c>
      <c r="J36" s="289" t="s">
        <v>82</v>
      </c>
      <c r="K36" s="289" t="s">
        <v>83</v>
      </c>
      <c r="L36" s="289" t="s">
        <v>80</v>
      </c>
      <c r="M36" s="308" t="s">
        <v>31</v>
      </c>
    </row>
    <row r="37" spans="1:13" x14ac:dyDescent="0.3">
      <c r="B37" s="294"/>
      <c r="C37" s="294"/>
      <c r="D37" s="305"/>
      <c r="E37" s="298"/>
      <c r="F37" s="289"/>
      <c r="G37" s="289"/>
      <c r="H37" s="289"/>
      <c r="I37" s="289"/>
      <c r="J37" s="289"/>
      <c r="K37" s="289"/>
      <c r="L37" s="289"/>
      <c r="M37" s="308"/>
    </row>
    <row r="38" spans="1:13" x14ac:dyDescent="0.3">
      <c r="B38" s="301" t="s">
        <v>103</v>
      </c>
      <c r="C38" s="301"/>
      <c r="D38" s="230">
        <f t="shared" ref="D38:D46" si="7">D15</f>
        <v>5000000</v>
      </c>
      <c r="E38" s="49">
        <v>5.0000000000000001E-3</v>
      </c>
      <c r="F38" s="49">
        <v>0.60099999999999998</v>
      </c>
      <c r="G38" s="49">
        <v>0.152</v>
      </c>
      <c r="H38" s="49">
        <v>6.2E-2</v>
      </c>
      <c r="I38" s="49">
        <v>0.114</v>
      </c>
      <c r="J38" s="49">
        <v>1.9E-2</v>
      </c>
      <c r="K38" s="49">
        <v>1.0999999999999999E-2</v>
      </c>
      <c r="L38" s="49">
        <v>3.5999999999999997E-2</v>
      </c>
      <c r="M38" s="231">
        <f>SUM(E38:L38)</f>
        <v>1</v>
      </c>
    </row>
    <row r="39" spans="1:13" x14ac:dyDescent="0.3">
      <c r="B39" s="284" t="s">
        <v>7</v>
      </c>
      <c r="C39" s="284"/>
      <c r="D39" s="63">
        <f t="shared" si="7"/>
        <v>10000000</v>
      </c>
      <c r="E39" s="32">
        <v>0</v>
      </c>
      <c r="F39" s="32">
        <v>1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8">
        <f t="shared" ref="M39:M46" si="8">SUM(E39:L39)</f>
        <v>1</v>
      </c>
    </row>
    <row r="40" spans="1:13" x14ac:dyDescent="0.3">
      <c r="B40" s="284" t="s">
        <v>20</v>
      </c>
      <c r="C40" s="284"/>
      <c r="D40" s="63">
        <f t="shared" si="7"/>
        <v>5000000</v>
      </c>
      <c r="E40" s="32">
        <v>0</v>
      </c>
      <c r="F40" s="32">
        <v>0.71099999999999997</v>
      </c>
      <c r="G40" s="32">
        <v>0.16489999999999999</v>
      </c>
      <c r="H40" s="32">
        <v>5.8999999999999997E-2</v>
      </c>
      <c r="I40" s="32">
        <v>9.5999999999999992E-3</v>
      </c>
      <c r="J40" s="32">
        <v>1.7299999999999999E-2</v>
      </c>
      <c r="K40" s="32">
        <v>2.8E-3</v>
      </c>
      <c r="L40" s="32">
        <v>3.5400000000000001E-2</v>
      </c>
      <c r="M40" s="38">
        <f t="shared" si="8"/>
        <v>0.99999999999999989</v>
      </c>
    </row>
    <row r="41" spans="1:13" x14ac:dyDescent="0.3">
      <c r="B41" s="284" t="s">
        <v>21</v>
      </c>
      <c r="C41" s="284"/>
      <c r="D41" s="63">
        <f t="shared" si="7"/>
        <v>2500000</v>
      </c>
      <c r="E41" s="32">
        <v>0</v>
      </c>
      <c r="F41" s="32">
        <v>1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8">
        <f t="shared" si="8"/>
        <v>1</v>
      </c>
    </row>
    <row r="42" spans="1:13" x14ac:dyDescent="0.3">
      <c r="B42" s="284" t="s">
        <v>104</v>
      </c>
      <c r="C42" s="284"/>
      <c r="D42" s="63">
        <f t="shared" si="7"/>
        <v>3750000</v>
      </c>
      <c r="E42" s="32">
        <v>1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8">
        <f t="shared" si="8"/>
        <v>1</v>
      </c>
    </row>
    <row r="43" spans="1:13" x14ac:dyDescent="0.3">
      <c r="B43" s="284" t="s">
        <v>45</v>
      </c>
      <c r="C43" s="284"/>
      <c r="D43" s="63">
        <f t="shared" si="7"/>
        <v>3750000</v>
      </c>
      <c r="E43" s="32">
        <v>1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8">
        <f t="shared" si="8"/>
        <v>1</v>
      </c>
    </row>
    <row r="44" spans="1:13" x14ac:dyDescent="0.3">
      <c r="B44" s="284" t="s">
        <v>46</v>
      </c>
      <c r="C44" s="284"/>
      <c r="D44" s="63">
        <f t="shared" si="7"/>
        <v>12500000</v>
      </c>
      <c r="E44" s="32">
        <v>1</v>
      </c>
      <c r="F44" s="32">
        <v>0</v>
      </c>
      <c r="G44" s="32">
        <v>0</v>
      </c>
      <c r="H44" s="32">
        <v>0</v>
      </c>
      <c r="I44" s="32">
        <v>0</v>
      </c>
      <c r="J44" s="32">
        <v>0</v>
      </c>
      <c r="K44" s="32">
        <v>0</v>
      </c>
      <c r="L44" s="32">
        <v>0</v>
      </c>
      <c r="M44" s="38">
        <f t="shared" si="8"/>
        <v>1</v>
      </c>
    </row>
    <row r="45" spans="1:13" x14ac:dyDescent="0.3">
      <c r="B45" s="284" t="s">
        <v>47</v>
      </c>
      <c r="C45" s="284"/>
      <c r="D45" s="63">
        <f t="shared" si="7"/>
        <v>5000000</v>
      </c>
      <c r="E45" s="32">
        <v>0</v>
      </c>
      <c r="F45" s="32">
        <v>0</v>
      </c>
      <c r="G45" s="32">
        <v>0</v>
      </c>
      <c r="H45" s="32">
        <v>0</v>
      </c>
      <c r="I45" s="32">
        <v>0.99609999999999999</v>
      </c>
      <c r="J45" s="32">
        <v>0</v>
      </c>
      <c r="K45" s="32">
        <v>0</v>
      </c>
      <c r="L45" s="32">
        <v>3.8999999999999998E-3</v>
      </c>
      <c r="M45" s="38">
        <f t="shared" si="8"/>
        <v>1</v>
      </c>
    </row>
    <row r="46" spans="1:13" x14ac:dyDescent="0.3">
      <c r="B46" s="284" t="s">
        <v>13</v>
      </c>
      <c r="C46" s="284"/>
      <c r="D46" s="63">
        <f t="shared" si="7"/>
        <v>2500000</v>
      </c>
      <c r="E46" s="32">
        <v>1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0</v>
      </c>
      <c r="L46" s="32">
        <v>0</v>
      </c>
      <c r="M46" s="38">
        <f t="shared" si="8"/>
        <v>1</v>
      </c>
    </row>
    <row r="47" spans="1:13" s="2" customFormat="1" ht="15" thickBot="1" x14ac:dyDescent="0.35">
      <c r="A47" s="7"/>
      <c r="B47" s="309" t="s">
        <v>5</v>
      </c>
      <c r="C47" s="309"/>
      <c r="D47" s="261">
        <f>SUM(D38:D46)</f>
        <v>50000000</v>
      </c>
      <c r="E47" s="264">
        <f t="shared" ref="E47:L47" si="9">SUMPRODUCT($D$38:$D$46,E38:E46)</f>
        <v>22525000</v>
      </c>
      <c r="F47" s="264">
        <f t="shared" si="9"/>
        <v>19060000</v>
      </c>
      <c r="G47" s="264">
        <f t="shared" si="9"/>
        <v>1584500</v>
      </c>
      <c r="H47" s="264">
        <f t="shared" si="9"/>
        <v>605000</v>
      </c>
      <c r="I47" s="264">
        <f t="shared" si="9"/>
        <v>5598500</v>
      </c>
      <c r="J47" s="264">
        <f t="shared" si="9"/>
        <v>181500</v>
      </c>
      <c r="K47" s="264">
        <f t="shared" si="9"/>
        <v>69000</v>
      </c>
      <c r="L47" s="264">
        <f t="shared" si="9"/>
        <v>376500</v>
      </c>
      <c r="M47" s="264">
        <f>SUM(E47:L47)</f>
        <v>50000000</v>
      </c>
    </row>
    <row r="48" spans="1:13" s="2" customFormat="1" x14ac:dyDescent="0.3">
      <c r="A48" s="7"/>
      <c r="B48" s="41"/>
      <c r="C48" s="41"/>
      <c r="D48" s="8"/>
      <c r="E48" s="42"/>
      <c r="F48" s="42"/>
      <c r="G48" s="42"/>
      <c r="H48" s="42"/>
      <c r="I48" s="42"/>
      <c r="J48" s="42"/>
      <c r="K48" s="42"/>
      <c r="L48" s="42"/>
      <c r="M48" s="42"/>
    </row>
    <row r="49" spans="2:13" x14ac:dyDescent="0.3">
      <c r="B49" s="18"/>
      <c r="C49" s="18"/>
      <c r="D49" s="16"/>
      <c r="E49" s="16"/>
      <c r="F49" s="16"/>
      <c r="G49" s="16"/>
      <c r="H49" s="16"/>
      <c r="I49" s="16"/>
      <c r="J49" s="16"/>
      <c r="K49" s="16"/>
      <c r="L49" s="16"/>
      <c r="M49" s="16"/>
    </row>
    <row r="50" spans="2:13" ht="14.4" customHeight="1" x14ac:dyDescent="0.3">
      <c r="B50" s="296" t="s">
        <v>123</v>
      </c>
      <c r="C50" s="296"/>
      <c r="D50" s="296"/>
      <c r="E50" s="296"/>
      <c r="F50" s="296"/>
      <c r="G50" s="296"/>
      <c r="H50" s="296"/>
      <c r="I50" s="296"/>
      <c r="J50" s="296"/>
      <c r="K50" s="296"/>
      <c r="L50" s="296"/>
      <c r="M50" s="296"/>
    </row>
    <row r="51" spans="2:13" ht="14.4" customHeight="1" x14ac:dyDescent="0.3"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</row>
    <row r="52" spans="2:13" x14ac:dyDescent="0.3">
      <c r="E52" s="3"/>
      <c r="F52" s="3"/>
      <c r="G52" s="3"/>
      <c r="H52" s="3"/>
      <c r="I52" s="3"/>
      <c r="J52" s="3"/>
    </row>
    <row r="53" spans="2:13" x14ac:dyDescent="0.3">
      <c r="B53" s="294" t="s">
        <v>110</v>
      </c>
      <c r="C53" s="294"/>
      <c r="D53" s="298" t="s">
        <v>58</v>
      </c>
      <c r="E53" s="298" t="s">
        <v>57</v>
      </c>
      <c r="F53" s="298" t="s">
        <v>56</v>
      </c>
      <c r="G53" s="298" t="s">
        <v>60</v>
      </c>
      <c r="H53" s="3"/>
      <c r="I53" s="311" t="s">
        <v>118</v>
      </c>
      <c r="J53" s="310">
        <v>2</v>
      </c>
      <c r="K53" s="3"/>
      <c r="L53" s="50" t="s">
        <v>117</v>
      </c>
      <c r="M53" s="3"/>
    </row>
    <row r="54" spans="2:13" x14ac:dyDescent="0.3">
      <c r="B54" s="294"/>
      <c r="C54" s="294"/>
      <c r="D54" s="298"/>
      <c r="E54" s="298"/>
      <c r="F54" s="298"/>
      <c r="G54" s="298"/>
      <c r="H54" s="3"/>
      <c r="I54" s="311"/>
      <c r="J54" s="310"/>
      <c r="K54" s="3"/>
      <c r="L54" s="50" t="s">
        <v>116</v>
      </c>
      <c r="M54" s="3"/>
    </row>
    <row r="55" spans="2:13" x14ac:dyDescent="0.3">
      <c r="B55" s="291" t="s">
        <v>16</v>
      </c>
      <c r="C55" s="291"/>
      <c r="D55" s="232">
        <v>-9.9000000000000005E-2</v>
      </c>
      <c r="E55" s="232">
        <v>7.3999999999999996E-2</v>
      </c>
      <c r="F55" s="232">
        <v>0.129</v>
      </c>
      <c r="G55" s="233">
        <f>CHOOSE($J$53,D55,E55,F55)</f>
        <v>7.3999999999999996E-2</v>
      </c>
      <c r="H55" s="15"/>
      <c r="I55" s="3"/>
      <c r="J55" s="3"/>
      <c r="K55" s="3"/>
      <c r="L55" s="50" t="s">
        <v>115</v>
      </c>
      <c r="M55" s="3"/>
    </row>
    <row r="56" spans="2:13" x14ac:dyDescent="0.3">
      <c r="B56" s="286" t="s">
        <v>19</v>
      </c>
      <c r="C56" s="286"/>
      <c r="D56" s="29">
        <v>0.184</v>
      </c>
      <c r="E56" s="29">
        <v>0.185</v>
      </c>
      <c r="F56" s="29">
        <v>0.28699999999999998</v>
      </c>
      <c r="G56" s="43">
        <f t="shared" ref="G56:G60" si="10">CHOOSE($J$53,D56,E56,F56)</f>
        <v>0.185</v>
      </c>
      <c r="H56" s="3"/>
      <c r="I56" s="3"/>
      <c r="J56" s="3"/>
      <c r="K56" s="3"/>
      <c r="L56" s="3"/>
      <c r="M56" s="3"/>
    </row>
    <row r="57" spans="2:13" x14ac:dyDescent="0.3">
      <c r="B57" s="286" t="s">
        <v>18</v>
      </c>
      <c r="C57" s="286"/>
      <c r="D57" s="29">
        <v>0.1101</v>
      </c>
      <c r="E57" s="29">
        <v>0.14879999999999999</v>
      </c>
      <c r="F57" s="29">
        <v>0.1678</v>
      </c>
      <c r="G57" s="43">
        <f t="shared" si="10"/>
        <v>0.14879999999999999</v>
      </c>
      <c r="H57" s="3"/>
      <c r="I57" s="3"/>
      <c r="J57" s="3"/>
      <c r="K57" s="3"/>
      <c r="L57" s="3"/>
      <c r="M57" s="3"/>
    </row>
    <row r="58" spans="2:13" x14ac:dyDescent="0.3">
      <c r="B58" s="286" t="s">
        <v>101</v>
      </c>
      <c r="C58" s="286"/>
      <c r="D58" s="29">
        <v>9.9099999999999994E-2</v>
      </c>
      <c r="E58" s="29">
        <v>0.12130000000000001</v>
      </c>
      <c r="F58" s="29">
        <v>0.21310000000000001</v>
      </c>
      <c r="G58" s="43">
        <f t="shared" si="10"/>
        <v>0.12130000000000001</v>
      </c>
      <c r="H58" s="3"/>
      <c r="I58" s="3"/>
      <c r="J58" s="3"/>
      <c r="K58" s="3"/>
      <c r="L58" s="3"/>
      <c r="M58" s="3"/>
    </row>
    <row r="59" spans="2:13" x14ac:dyDescent="0.3">
      <c r="B59" s="286" t="s">
        <v>17</v>
      </c>
      <c r="C59" s="286"/>
      <c r="D59" s="29">
        <v>9.0200000000000002E-2</v>
      </c>
      <c r="E59" s="29">
        <v>9.3600000000000003E-2</v>
      </c>
      <c r="F59" s="29">
        <v>0.1103</v>
      </c>
      <c r="G59" s="43">
        <f t="shared" si="10"/>
        <v>9.3600000000000003E-2</v>
      </c>
      <c r="H59" s="3"/>
      <c r="I59" s="3"/>
      <c r="J59" s="3"/>
      <c r="K59" s="3"/>
      <c r="L59" s="3"/>
      <c r="M59" s="3"/>
    </row>
    <row r="60" spans="2:13" x14ac:dyDescent="0.3">
      <c r="B60" s="286" t="s">
        <v>100</v>
      </c>
      <c r="C60" s="286"/>
      <c r="D60" s="29">
        <v>0.1026</v>
      </c>
      <c r="E60" s="29">
        <v>0.108</v>
      </c>
      <c r="F60" s="29">
        <v>0.1694</v>
      </c>
      <c r="G60" s="43">
        <f t="shared" si="10"/>
        <v>0.108</v>
      </c>
      <c r="H60" s="3"/>
      <c r="I60" s="3"/>
      <c r="J60" s="3"/>
      <c r="K60" s="3"/>
      <c r="L60" s="3"/>
      <c r="M60" s="3"/>
    </row>
    <row r="61" spans="2:13" x14ac:dyDescent="0.3">
      <c r="D61" s="39"/>
      <c r="E61" s="39"/>
      <c r="F61" s="39"/>
      <c r="G61" s="40"/>
      <c r="H61" s="3"/>
      <c r="I61" s="3"/>
      <c r="J61" s="3"/>
      <c r="K61" s="3"/>
      <c r="L61" s="3"/>
      <c r="M61" s="3"/>
    </row>
    <row r="62" spans="2:13" x14ac:dyDescent="0.3">
      <c r="B62" s="294" t="s">
        <v>111</v>
      </c>
      <c r="C62" s="294"/>
      <c r="D62" s="298" t="s">
        <v>58</v>
      </c>
      <c r="E62" s="298" t="s">
        <v>57</v>
      </c>
      <c r="F62" s="298" t="s">
        <v>56</v>
      </c>
      <c r="G62" s="298" t="s">
        <v>60</v>
      </c>
      <c r="H62" s="3"/>
      <c r="I62" s="3"/>
      <c r="J62" s="3"/>
      <c r="K62" s="3"/>
      <c r="L62" s="3"/>
      <c r="M62" s="3"/>
    </row>
    <row r="63" spans="2:13" x14ac:dyDescent="0.3">
      <c r="B63" s="294"/>
      <c r="C63" s="294"/>
      <c r="D63" s="298"/>
      <c r="E63" s="298"/>
      <c r="F63" s="298"/>
      <c r="G63" s="298"/>
      <c r="H63" s="3"/>
      <c r="I63" s="3"/>
      <c r="J63" s="3"/>
      <c r="K63" s="3"/>
      <c r="L63" s="3"/>
      <c r="M63" s="3"/>
    </row>
    <row r="64" spans="2:13" x14ac:dyDescent="0.3">
      <c r="B64" s="291" t="s">
        <v>103</v>
      </c>
      <c r="C64" s="291"/>
      <c r="D64" s="232">
        <v>6.6000000000000003E-2</v>
      </c>
      <c r="E64" s="232">
        <v>0.129</v>
      </c>
      <c r="F64" s="232">
        <v>0.14199999999999999</v>
      </c>
      <c r="G64" s="233">
        <f>CHOOSE($J$53,D64,E64,F64)</f>
        <v>0.129</v>
      </c>
      <c r="H64" s="3"/>
      <c r="I64" s="3"/>
      <c r="J64" s="3"/>
      <c r="K64" s="3"/>
      <c r="L64" s="3"/>
      <c r="M64" s="3"/>
    </row>
    <row r="65" spans="2:13" x14ac:dyDescent="0.3">
      <c r="B65" s="286" t="s">
        <v>7</v>
      </c>
      <c r="C65" s="286"/>
      <c r="D65" s="29">
        <v>0.16539999999999999</v>
      </c>
      <c r="E65" s="29">
        <v>0.2084</v>
      </c>
      <c r="F65" s="29">
        <v>0.46579999999999999</v>
      </c>
      <c r="G65" s="43">
        <f t="shared" ref="G65:G72" si="11">CHOOSE($J$53,D65,E65,F65)</f>
        <v>0.2084</v>
      </c>
      <c r="H65" s="3"/>
      <c r="I65" s="3"/>
      <c r="J65" s="3"/>
      <c r="K65" s="3"/>
      <c r="L65" s="3"/>
      <c r="M65" s="3"/>
    </row>
    <row r="66" spans="2:13" x14ac:dyDescent="0.3">
      <c r="B66" s="286" t="s">
        <v>20</v>
      </c>
      <c r="C66" s="286"/>
      <c r="D66" s="29">
        <v>3.7900000000000003E-2</v>
      </c>
      <c r="E66" s="29">
        <v>0.1348</v>
      </c>
      <c r="F66" s="29">
        <v>0.14829999999999999</v>
      </c>
      <c r="G66" s="43">
        <f t="shared" si="11"/>
        <v>0.1348</v>
      </c>
      <c r="H66" s="3"/>
      <c r="I66" s="3"/>
      <c r="J66" s="3"/>
      <c r="K66" s="3"/>
      <c r="L66" s="3"/>
      <c r="M66" s="3"/>
    </row>
    <row r="67" spans="2:13" x14ac:dyDescent="0.3">
      <c r="B67" s="286" t="s">
        <v>21</v>
      </c>
      <c r="C67" s="286"/>
      <c r="D67" s="29">
        <v>0.01</v>
      </c>
      <c r="E67" s="29">
        <v>0.158</v>
      </c>
      <c r="F67" s="29">
        <v>0.17</v>
      </c>
      <c r="G67" s="43">
        <f t="shared" si="11"/>
        <v>0.158</v>
      </c>
      <c r="H67" s="3"/>
      <c r="I67" s="3"/>
      <c r="J67" s="3"/>
      <c r="K67" s="3"/>
      <c r="L67" s="3"/>
      <c r="M67" s="3"/>
    </row>
    <row r="68" spans="2:13" x14ac:dyDescent="0.3">
      <c r="B68" s="286" t="s">
        <v>104</v>
      </c>
      <c r="C68" s="286"/>
      <c r="D68" s="29">
        <v>7.51E-2</v>
      </c>
      <c r="E68" s="29">
        <v>0.1434</v>
      </c>
      <c r="F68" s="29">
        <v>0.4133</v>
      </c>
      <c r="G68" s="43">
        <f t="shared" si="11"/>
        <v>0.1434</v>
      </c>
      <c r="H68" s="3"/>
      <c r="I68" s="3"/>
      <c r="J68" s="3"/>
      <c r="K68" s="3"/>
      <c r="L68" s="3"/>
      <c r="M68" s="3"/>
    </row>
    <row r="69" spans="2:13" x14ac:dyDescent="0.3">
      <c r="B69" s="286" t="s">
        <v>45</v>
      </c>
      <c r="C69" s="286"/>
      <c r="D69" s="29">
        <v>0.1148</v>
      </c>
      <c r="E69" s="29">
        <v>0.22919999999999999</v>
      </c>
      <c r="F69" s="29">
        <v>0.42149999999999999</v>
      </c>
      <c r="G69" s="43">
        <f>CHOOSE($J$53,D69,E69,F69)</f>
        <v>0.22919999999999999</v>
      </c>
      <c r="H69" s="3"/>
      <c r="I69" s="3"/>
      <c r="J69" s="3"/>
      <c r="K69" s="3"/>
      <c r="L69" s="3"/>
      <c r="M69" s="3"/>
    </row>
    <row r="70" spans="2:13" x14ac:dyDescent="0.3">
      <c r="B70" s="286" t="s">
        <v>46</v>
      </c>
      <c r="C70" s="286"/>
      <c r="D70" s="29">
        <v>0.1472</v>
      </c>
      <c r="E70" s="29">
        <v>0.2185</v>
      </c>
      <c r="F70" s="29">
        <v>0.2273</v>
      </c>
      <c r="G70" s="43">
        <f t="shared" si="11"/>
        <v>0.2185</v>
      </c>
      <c r="H70" s="3"/>
      <c r="I70" s="3"/>
      <c r="J70" s="3"/>
      <c r="K70" s="3"/>
      <c r="L70" s="3"/>
      <c r="M70" s="3"/>
    </row>
    <row r="71" spans="2:13" x14ac:dyDescent="0.3">
      <c r="B71" s="286" t="s">
        <v>47</v>
      </c>
      <c r="C71" s="286"/>
      <c r="D71" s="29">
        <v>0.15509999999999999</v>
      </c>
      <c r="E71" s="29">
        <v>0.16109999999999999</v>
      </c>
      <c r="F71" s="29">
        <v>0.27450000000000002</v>
      </c>
      <c r="G71" s="43">
        <f t="shared" si="11"/>
        <v>0.16109999999999999</v>
      </c>
      <c r="H71" s="3"/>
      <c r="I71" s="3"/>
      <c r="J71" s="3"/>
      <c r="K71" s="3"/>
      <c r="L71" s="3"/>
      <c r="M71" s="3"/>
    </row>
    <row r="72" spans="2:13" x14ac:dyDescent="0.3">
      <c r="B72" s="286" t="s">
        <v>13</v>
      </c>
      <c r="C72" s="286"/>
      <c r="D72" s="29">
        <v>5.6000000000000001E-2</v>
      </c>
      <c r="E72" s="29">
        <v>5.6000000000000001E-2</v>
      </c>
      <c r="F72" s="29">
        <v>5.6000000000000001E-2</v>
      </c>
      <c r="G72" s="43">
        <f t="shared" si="11"/>
        <v>5.6000000000000001E-2</v>
      </c>
      <c r="H72" s="3"/>
      <c r="I72" s="3"/>
      <c r="J72" s="3"/>
      <c r="K72" s="3"/>
      <c r="L72" s="3"/>
      <c r="M72" s="3"/>
    </row>
    <row r="73" spans="2:13" x14ac:dyDescent="0.3">
      <c r="E73" s="3"/>
      <c r="F73" s="3"/>
      <c r="G73" s="3"/>
      <c r="H73" s="3"/>
      <c r="I73" s="3"/>
      <c r="J73" s="3"/>
      <c r="K73" s="3"/>
      <c r="L73" s="3"/>
      <c r="M73" s="3"/>
    </row>
    <row r="75" spans="2:13" ht="14.4" customHeight="1" x14ac:dyDescent="0.3">
      <c r="B75" s="296" t="s">
        <v>242</v>
      </c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</row>
    <row r="76" spans="2:13" ht="14.4" customHeight="1" x14ac:dyDescent="0.3"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</row>
    <row r="78" spans="2:13" x14ac:dyDescent="0.3">
      <c r="B78" s="294" t="s">
        <v>108</v>
      </c>
      <c r="C78" s="294"/>
      <c r="D78" s="299" t="s">
        <v>109</v>
      </c>
      <c r="E78" s="298" t="s">
        <v>64</v>
      </c>
      <c r="F78" s="298" t="s">
        <v>65</v>
      </c>
      <c r="G78" s="298" t="s">
        <v>72</v>
      </c>
      <c r="H78"/>
      <c r="I78"/>
      <c r="K78"/>
      <c r="L78"/>
    </row>
    <row r="79" spans="2:13" x14ac:dyDescent="0.3">
      <c r="B79" s="294"/>
      <c r="C79" s="294"/>
      <c r="D79" s="299"/>
      <c r="E79" s="298"/>
      <c r="F79" s="298"/>
      <c r="G79" s="298"/>
      <c r="H79"/>
      <c r="I79"/>
      <c r="K79"/>
      <c r="L79"/>
    </row>
    <row r="80" spans="2:13" x14ac:dyDescent="0.3">
      <c r="B80" s="301" t="s">
        <v>16</v>
      </c>
      <c r="C80" s="301"/>
      <c r="D80" s="232">
        <v>0.14899999999999999</v>
      </c>
      <c r="E80" s="224">
        <v>-0.14299999999999999</v>
      </c>
      <c r="F80" s="234" t="s">
        <v>67</v>
      </c>
      <c r="G80" s="235">
        <v>0</v>
      </c>
      <c r="H80"/>
      <c r="I80"/>
    </row>
    <row r="81" spans="2:13" x14ac:dyDescent="0.3">
      <c r="B81" s="284" t="s">
        <v>19</v>
      </c>
      <c r="C81" s="284"/>
      <c r="D81" s="29">
        <v>8.7999999999999995E-2</v>
      </c>
      <c r="E81" s="27">
        <v>-3.3000000000000002E-2</v>
      </c>
      <c r="F81" s="30" t="s">
        <v>73</v>
      </c>
      <c r="G81" s="31">
        <v>0</v>
      </c>
      <c r="H81"/>
      <c r="I81"/>
    </row>
    <row r="82" spans="2:13" x14ac:dyDescent="0.3">
      <c r="B82" s="284" t="s">
        <v>18</v>
      </c>
      <c r="C82" s="284"/>
      <c r="D82" s="29">
        <v>7.7700000000000005E-2</v>
      </c>
      <c r="E82" s="27">
        <v>-7.2599999999999998E-2</v>
      </c>
      <c r="F82" s="30" t="s">
        <v>79</v>
      </c>
      <c r="G82" s="31">
        <v>0</v>
      </c>
      <c r="H82"/>
      <c r="I82"/>
    </row>
    <row r="83" spans="2:13" x14ac:dyDescent="0.3">
      <c r="B83" s="284" t="s">
        <v>101</v>
      </c>
      <c r="C83" s="284"/>
      <c r="D83" s="29">
        <v>4.3200000000000002E-2</v>
      </c>
      <c r="E83" s="27">
        <v>-2.4E-2</v>
      </c>
      <c r="F83" s="30" t="s">
        <v>70</v>
      </c>
      <c r="G83" s="31">
        <v>0</v>
      </c>
      <c r="H83"/>
      <c r="I83"/>
    </row>
    <row r="84" spans="2:13" x14ac:dyDescent="0.3">
      <c r="B84" s="284" t="s">
        <v>17</v>
      </c>
      <c r="C84" s="284"/>
      <c r="D84" s="29">
        <v>1.55E-2</v>
      </c>
      <c r="E84" s="27">
        <v>-5.0000000000000001E-3</v>
      </c>
      <c r="F84" s="30" t="s">
        <v>70</v>
      </c>
      <c r="G84" s="31">
        <v>0</v>
      </c>
      <c r="H84"/>
      <c r="I84"/>
    </row>
    <row r="85" spans="2:13" x14ac:dyDescent="0.3">
      <c r="B85" s="284" t="s">
        <v>100</v>
      </c>
      <c r="C85" s="284"/>
      <c r="D85" s="29">
        <v>3.7900000000000003E-2</v>
      </c>
      <c r="E85" s="27">
        <v>-2.01E-2</v>
      </c>
      <c r="F85" s="30" t="s">
        <v>70</v>
      </c>
      <c r="G85" s="31">
        <v>0</v>
      </c>
      <c r="H85"/>
      <c r="I85"/>
    </row>
    <row r="86" spans="2:13" x14ac:dyDescent="0.3">
      <c r="B86" s="284" t="s">
        <v>103</v>
      </c>
      <c r="C86" s="284"/>
      <c r="D86" s="32">
        <v>0.13500000000000001</v>
      </c>
      <c r="E86" s="33">
        <v>-0.18</v>
      </c>
      <c r="F86" s="34" t="s">
        <v>69</v>
      </c>
      <c r="G86" s="32">
        <v>5.3E-3</v>
      </c>
      <c r="H86"/>
      <c r="I86"/>
    </row>
    <row r="87" spans="2:13" x14ac:dyDescent="0.3">
      <c r="B87" s="284" t="s">
        <v>7</v>
      </c>
      <c r="C87" s="284"/>
      <c r="D87" s="32">
        <v>0.15509999999999999</v>
      </c>
      <c r="E87" s="33">
        <v>-0.27789999999999998</v>
      </c>
      <c r="F87" s="34" t="s">
        <v>66</v>
      </c>
      <c r="G87" s="33">
        <v>1.6999999999999999E-3</v>
      </c>
      <c r="H87"/>
      <c r="I87"/>
    </row>
    <row r="88" spans="2:13" x14ac:dyDescent="0.3">
      <c r="B88" s="284" t="s">
        <v>20</v>
      </c>
      <c r="C88" s="284"/>
      <c r="D88" s="33">
        <v>0.1489</v>
      </c>
      <c r="E88" s="33">
        <v>-0.191</v>
      </c>
      <c r="F88" s="34" t="s">
        <v>68</v>
      </c>
      <c r="G88" s="33">
        <v>8.6E-3</v>
      </c>
      <c r="H88"/>
      <c r="I88"/>
    </row>
    <row r="89" spans="2:13" x14ac:dyDescent="0.3">
      <c r="B89" s="284" t="s">
        <v>21</v>
      </c>
      <c r="C89" s="284"/>
      <c r="D89" s="33">
        <v>0.161</v>
      </c>
      <c r="E89" s="33">
        <v>-0.184</v>
      </c>
      <c r="F89" s="34" t="s">
        <v>67</v>
      </c>
      <c r="G89" s="33">
        <v>6.8999999999999999E-3</v>
      </c>
      <c r="H89"/>
      <c r="I89"/>
    </row>
    <row r="90" spans="2:13" x14ac:dyDescent="0.3">
      <c r="B90" s="284" t="s">
        <v>104</v>
      </c>
      <c r="C90" s="284"/>
      <c r="D90" s="33">
        <v>0.115</v>
      </c>
      <c r="E90" s="33">
        <v>-0.129</v>
      </c>
      <c r="F90" s="34" t="s">
        <v>70</v>
      </c>
      <c r="G90" s="33">
        <v>1.23E-2</v>
      </c>
      <c r="H90"/>
      <c r="I90"/>
    </row>
    <row r="91" spans="2:13" x14ac:dyDescent="0.3">
      <c r="B91" s="284" t="s">
        <v>45</v>
      </c>
      <c r="C91" s="284"/>
      <c r="D91" s="33">
        <v>0.17</v>
      </c>
      <c r="E91" s="33">
        <v>-0.5</v>
      </c>
      <c r="F91" s="34" t="s">
        <v>70</v>
      </c>
      <c r="G91" s="33">
        <v>9.2999999999999992E-3</v>
      </c>
      <c r="H91"/>
      <c r="I91"/>
    </row>
    <row r="92" spans="2:13" x14ac:dyDescent="0.3">
      <c r="B92" s="284" t="s">
        <v>46</v>
      </c>
      <c r="C92" s="284"/>
      <c r="D92" s="33">
        <v>0.13</v>
      </c>
      <c r="E92" s="33">
        <v>-0.33</v>
      </c>
      <c r="F92" s="34" t="s">
        <v>70</v>
      </c>
      <c r="G92" s="33">
        <v>8.3000000000000001E-3</v>
      </c>
      <c r="H92"/>
      <c r="I92"/>
    </row>
    <row r="93" spans="2:13" x14ac:dyDescent="0.3">
      <c r="B93" s="284" t="s">
        <v>47</v>
      </c>
      <c r="C93" s="284"/>
      <c r="D93" s="33">
        <v>0.18</v>
      </c>
      <c r="E93" s="33">
        <v>-0.12859999999999999</v>
      </c>
      <c r="F93" s="34" t="s">
        <v>71</v>
      </c>
      <c r="G93" s="33">
        <v>5.3E-3</v>
      </c>
      <c r="H93"/>
      <c r="I93"/>
    </row>
    <row r="94" spans="2:13" x14ac:dyDescent="0.3">
      <c r="B94" s="18"/>
      <c r="C94" s="18"/>
      <c r="D94" s="55"/>
      <c r="E94" s="55"/>
      <c r="F94" s="56"/>
      <c r="G94" s="55"/>
      <c r="H94" s="57"/>
      <c r="I94" s="58"/>
    </row>
    <row r="96" spans="2:13" ht="14.4" customHeight="1" x14ac:dyDescent="0.3">
      <c r="B96" s="296" t="s">
        <v>89</v>
      </c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</row>
    <row r="97" spans="2:13" ht="15" customHeight="1" x14ac:dyDescent="0.3">
      <c r="B97" s="296"/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</row>
    <row r="98" spans="2:13" x14ac:dyDescent="0.3">
      <c r="B98" s="5"/>
      <c r="C98" s="6"/>
      <c r="D98" s="44"/>
      <c r="E98" s="3"/>
      <c r="F98" s="3"/>
      <c r="G98" s="4"/>
      <c r="H98" s="3"/>
      <c r="I98" s="3"/>
      <c r="J98" s="3"/>
      <c r="K98" s="3"/>
    </row>
    <row r="99" spans="2:13" x14ac:dyDescent="0.3">
      <c r="B99" s="295" t="s">
        <v>107</v>
      </c>
      <c r="C99" s="289" t="s">
        <v>54</v>
      </c>
      <c r="D99" s="289"/>
      <c r="E99" s="300" t="s">
        <v>61</v>
      </c>
      <c r="G99" s="289" t="s">
        <v>8</v>
      </c>
      <c r="H99" s="289"/>
      <c r="I99" s="289"/>
      <c r="J99" s="289" t="s">
        <v>63</v>
      </c>
      <c r="K99" s="289"/>
      <c r="L99" s="289"/>
    </row>
    <row r="100" spans="2:13" x14ac:dyDescent="0.3">
      <c r="B100" s="295"/>
      <c r="C100" s="289"/>
      <c r="D100" s="289"/>
      <c r="E100" s="300"/>
      <c r="G100" s="289"/>
      <c r="H100" s="289"/>
      <c r="I100" s="289"/>
      <c r="J100" s="289"/>
      <c r="K100" s="289"/>
      <c r="L100" s="289"/>
    </row>
    <row r="101" spans="2:13" x14ac:dyDescent="0.3">
      <c r="B101" s="238">
        <v>44562</v>
      </c>
      <c r="C101" s="297" t="s">
        <v>16</v>
      </c>
      <c r="D101" s="297"/>
      <c r="E101" s="66">
        <v>5000000</v>
      </c>
      <c r="G101" s="292" t="s">
        <v>108</v>
      </c>
      <c r="H101" s="292"/>
      <c r="I101" s="237" t="s">
        <v>61</v>
      </c>
      <c r="J101" s="292" t="s">
        <v>108</v>
      </c>
      <c r="K101" s="292"/>
      <c r="L101" s="237" t="s">
        <v>61</v>
      </c>
    </row>
    <row r="102" spans="2:13" x14ac:dyDescent="0.3">
      <c r="B102" s="45"/>
      <c r="C102" s="285" t="s">
        <v>17</v>
      </c>
      <c r="D102" s="285"/>
      <c r="E102" s="69">
        <v>7500000</v>
      </c>
      <c r="G102" s="297" t="s">
        <v>16</v>
      </c>
      <c r="H102" s="297"/>
      <c r="I102" s="230">
        <v>1000000</v>
      </c>
      <c r="J102" s="284" t="s">
        <v>101</v>
      </c>
      <c r="K102" s="284"/>
      <c r="L102" s="230">
        <v>1000000</v>
      </c>
    </row>
    <row r="103" spans="2:13" x14ac:dyDescent="0.3">
      <c r="B103" s="45"/>
      <c r="C103" s="284" t="s">
        <v>7</v>
      </c>
      <c r="D103" s="284"/>
      <c r="E103" s="69">
        <v>10000000</v>
      </c>
      <c r="G103" s="286"/>
      <c r="H103" s="286"/>
      <c r="I103" s="63">
        <v>0</v>
      </c>
      <c r="J103" s="287"/>
      <c r="K103" s="288"/>
      <c r="L103" s="37">
        <v>0</v>
      </c>
    </row>
    <row r="104" spans="2:13" x14ac:dyDescent="0.3">
      <c r="B104" s="45"/>
      <c r="C104" s="284" t="s">
        <v>21</v>
      </c>
      <c r="D104" s="284"/>
      <c r="E104" s="69">
        <v>5000000</v>
      </c>
      <c r="G104" s="286"/>
      <c r="H104" s="286"/>
      <c r="I104" s="63">
        <v>0</v>
      </c>
      <c r="J104" s="287"/>
      <c r="K104" s="288"/>
      <c r="L104" s="37">
        <v>0</v>
      </c>
    </row>
    <row r="105" spans="2:13" x14ac:dyDescent="0.3">
      <c r="B105" s="45"/>
      <c r="C105" s="284" t="s">
        <v>104</v>
      </c>
      <c r="D105" s="284"/>
      <c r="E105" s="69">
        <v>5000000</v>
      </c>
      <c r="G105" s="286"/>
      <c r="H105" s="286"/>
      <c r="I105" s="63">
        <v>0</v>
      </c>
      <c r="J105" s="287"/>
      <c r="K105" s="288"/>
      <c r="L105" s="37">
        <v>0</v>
      </c>
    </row>
    <row r="106" spans="2:13" x14ac:dyDescent="0.3">
      <c r="B106" s="45"/>
      <c r="C106" s="284" t="s">
        <v>46</v>
      </c>
      <c r="D106" s="284"/>
      <c r="E106" s="69">
        <v>7500000</v>
      </c>
      <c r="G106" s="286"/>
      <c r="H106" s="286"/>
      <c r="I106" s="63">
        <v>0</v>
      </c>
      <c r="J106" s="287"/>
      <c r="K106" s="288"/>
      <c r="L106" s="37">
        <v>0</v>
      </c>
    </row>
    <row r="107" spans="2:13" x14ac:dyDescent="0.3">
      <c r="B107" s="45">
        <v>44625</v>
      </c>
      <c r="C107" s="285" t="s">
        <v>16</v>
      </c>
      <c r="D107" s="285"/>
      <c r="E107" s="69">
        <v>5000000</v>
      </c>
      <c r="G107" s="286"/>
      <c r="H107" s="286"/>
      <c r="I107" s="63">
        <v>0</v>
      </c>
      <c r="J107" s="287"/>
      <c r="K107" s="288"/>
      <c r="L107" s="37">
        <v>0</v>
      </c>
    </row>
    <row r="108" spans="2:13" x14ac:dyDescent="0.3">
      <c r="B108" s="45"/>
      <c r="C108" s="285" t="s">
        <v>17</v>
      </c>
      <c r="D108" s="285"/>
      <c r="E108" s="69">
        <v>5000000</v>
      </c>
      <c r="G108" s="286"/>
      <c r="H108" s="286"/>
      <c r="I108" s="63">
        <v>0</v>
      </c>
      <c r="J108" s="287"/>
      <c r="K108" s="288"/>
      <c r="L108" s="37">
        <v>0</v>
      </c>
    </row>
    <row r="109" spans="2:13" ht="14.4" customHeight="1" x14ac:dyDescent="0.3">
      <c r="B109" s="45"/>
      <c r="C109" s="284" t="s">
        <v>103</v>
      </c>
      <c r="D109" s="284"/>
      <c r="E109" s="69">
        <v>5000000</v>
      </c>
      <c r="G109" s="3"/>
      <c r="H109" s="3"/>
    </row>
    <row r="110" spans="2:13" ht="14.4" customHeight="1" x14ac:dyDescent="0.3">
      <c r="B110" s="45"/>
      <c r="C110" s="284" t="s">
        <v>20</v>
      </c>
      <c r="D110" s="284"/>
      <c r="E110" s="69">
        <v>5000000</v>
      </c>
      <c r="G110" s="294" t="s">
        <v>108</v>
      </c>
      <c r="H110" s="294"/>
      <c r="I110" s="289" t="s">
        <v>62</v>
      </c>
    </row>
    <row r="111" spans="2:13" ht="14.4" customHeight="1" x14ac:dyDescent="0.3">
      <c r="B111" s="45">
        <v>44701</v>
      </c>
      <c r="C111" s="285" t="s">
        <v>16</v>
      </c>
      <c r="D111" s="285"/>
      <c r="E111" s="69">
        <v>5000000</v>
      </c>
      <c r="G111" s="294"/>
      <c r="H111" s="294"/>
      <c r="I111" s="289"/>
    </row>
    <row r="112" spans="2:13" ht="14.4" customHeight="1" x14ac:dyDescent="0.3">
      <c r="B112" s="45"/>
      <c r="C112" s="285" t="s">
        <v>102</v>
      </c>
      <c r="D112" s="285"/>
      <c r="E112" s="69">
        <v>5000000</v>
      </c>
      <c r="G112" s="291" t="s">
        <v>16</v>
      </c>
      <c r="H112" s="291"/>
      <c r="I112" s="68">
        <f>SUMIF($C$101:$C$136,G112,$E$101:$E$136)</f>
        <v>20000000</v>
      </c>
    </row>
    <row r="113" spans="2:11" ht="14.4" customHeight="1" x14ac:dyDescent="0.3">
      <c r="B113" s="45"/>
      <c r="C113" s="286" t="s">
        <v>22</v>
      </c>
      <c r="D113" s="286"/>
      <c r="E113" s="69">
        <v>7500000</v>
      </c>
      <c r="G113" s="286" t="s">
        <v>17</v>
      </c>
      <c r="H113" s="286"/>
      <c r="I113" s="81">
        <f t="shared" ref="I113:I125" si="12">SUMIF($C$101:$C$136,G113,$E$101:$E$136)</f>
        <v>10000000</v>
      </c>
    </row>
    <row r="114" spans="2:11" ht="14.4" customHeight="1" x14ac:dyDescent="0.3">
      <c r="B114" s="45"/>
      <c r="C114" s="286" t="s">
        <v>19</v>
      </c>
      <c r="D114" s="286"/>
      <c r="E114" s="69">
        <v>2500000</v>
      </c>
      <c r="G114" s="286" t="s">
        <v>102</v>
      </c>
      <c r="H114" s="286"/>
      <c r="I114" s="81">
        <f t="shared" si="12"/>
        <v>15000000</v>
      </c>
    </row>
    <row r="115" spans="2:11" ht="14.4" customHeight="1" x14ac:dyDescent="0.3">
      <c r="B115" s="45"/>
      <c r="C115" s="285" t="s">
        <v>100</v>
      </c>
      <c r="D115" s="285"/>
      <c r="E115" s="69">
        <v>10000000</v>
      </c>
      <c r="G115" s="286" t="s">
        <v>100</v>
      </c>
      <c r="H115" s="286"/>
      <c r="I115" s="81">
        <f t="shared" si="12"/>
        <v>20000000</v>
      </c>
    </row>
    <row r="116" spans="2:11" ht="14.4" customHeight="1" x14ac:dyDescent="0.3">
      <c r="B116" s="45">
        <v>44735</v>
      </c>
      <c r="C116" s="285" t="s">
        <v>100</v>
      </c>
      <c r="D116" s="285"/>
      <c r="E116" s="69">
        <v>10000000</v>
      </c>
      <c r="G116" s="286" t="s">
        <v>22</v>
      </c>
      <c r="H116" s="286"/>
      <c r="I116" s="81">
        <f>SUMIF($C$101:$C$136,G116,$E$101:$E$136)</f>
        <v>30000000</v>
      </c>
    </row>
    <row r="117" spans="2:11" ht="14.4" customHeight="1" x14ac:dyDescent="0.3">
      <c r="B117" s="45"/>
      <c r="C117" s="284" t="s">
        <v>103</v>
      </c>
      <c r="D117" s="284"/>
      <c r="E117" s="69">
        <v>5000000</v>
      </c>
      <c r="G117" s="286" t="s">
        <v>19</v>
      </c>
      <c r="H117" s="286"/>
      <c r="I117" s="81">
        <f t="shared" si="12"/>
        <v>5000000</v>
      </c>
    </row>
    <row r="118" spans="2:11" ht="14.4" customHeight="1" x14ac:dyDescent="0.3">
      <c r="B118" s="45"/>
      <c r="C118" s="284" t="s">
        <v>21</v>
      </c>
      <c r="D118" s="284"/>
      <c r="E118" s="69">
        <v>2500000</v>
      </c>
      <c r="G118" s="284" t="s">
        <v>103</v>
      </c>
      <c r="H118" s="284"/>
      <c r="I118" s="81">
        <f t="shared" si="12"/>
        <v>10000000</v>
      </c>
    </row>
    <row r="119" spans="2:11" ht="14.4" customHeight="1" x14ac:dyDescent="0.3">
      <c r="B119" s="45"/>
      <c r="C119" s="286" t="s">
        <v>22</v>
      </c>
      <c r="D119" s="286"/>
      <c r="E119" s="69">
        <v>7500000</v>
      </c>
      <c r="G119" s="284" t="s">
        <v>7</v>
      </c>
      <c r="H119" s="284"/>
      <c r="I119" s="81">
        <f t="shared" si="12"/>
        <v>20000000</v>
      </c>
    </row>
    <row r="120" spans="2:11" ht="14.4" customHeight="1" x14ac:dyDescent="0.3">
      <c r="B120" s="45"/>
      <c r="C120" s="284" t="s">
        <v>45</v>
      </c>
      <c r="D120" s="284"/>
      <c r="E120" s="69">
        <v>5000000</v>
      </c>
      <c r="G120" s="284" t="s">
        <v>20</v>
      </c>
      <c r="H120" s="284"/>
      <c r="I120" s="81">
        <f t="shared" si="12"/>
        <v>10000000</v>
      </c>
    </row>
    <row r="121" spans="2:11" ht="14.4" customHeight="1" x14ac:dyDescent="0.3">
      <c r="B121" s="45"/>
      <c r="C121" s="284" t="s">
        <v>46</v>
      </c>
      <c r="D121" s="284"/>
      <c r="E121" s="69">
        <v>7500000</v>
      </c>
      <c r="G121" s="284" t="s">
        <v>21</v>
      </c>
      <c r="H121" s="284"/>
      <c r="I121" s="81">
        <f t="shared" si="12"/>
        <v>5000000</v>
      </c>
    </row>
    <row r="122" spans="2:11" ht="14.4" customHeight="1" x14ac:dyDescent="0.3">
      <c r="B122" s="45">
        <v>44810</v>
      </c>
      <c r="C122" s="285" t="s">
        <v>16</v>
      </c>
      <c r="D122" s="285"/>
      <c r="E122" s="69">
        <v>5000000</v>
      </c>
      <c r="G122" s="284" t="s">
        <v>104</v>
      </c>
      <c r="H122" s="284"/>
      <c r="I122" s="81">
        <f t="shared" si="12"/>
        <v>7500000</v>
      </c>
    </row>
    <row r="123" spans="2:11" ht="14.4" customHeight="1" x14ac:dyDescent="0.3">
      <c r="B123" s="45">
        <v>44835</v>
      </c>
      <c r="C123" s="286" t="s">
        <v>22</v>
      </c>
      <c r="D123" s="286"/>
      <c r="E123" s="69">
        <v>7500000</v>
      </c>
      <c r="G123" s="284" t="s">
        <v>45</v>
      </c>
      <c r="H123" s="284"/>
      <c r="I123" s="81">
        <f t="shared" si="12"/>
        <v>7500000</v>
      </c>
    </row>
    <row r="124" spans="2:11" ht="14.4" customHeight="1" x14ac:dyDescent="0.3">
      <c r="B124" s="45"/>
      <c r="C124" s="284" t="s">
        <v>20</v>
      </c>
      <c r="D124" s="284"/>
      <c r="E124" s="69">
        <v>5000000</v>
      </c>
      <c r="G124" s="284" t="s">
        <v>46</v>
      </c>
      <c r="H124" s="284"/>
      <c r="I124" s="81">
        <f t="shared" si="12"/>
        <v>25000000</v>
      </c>
    </row>
    <row r="125" spans="2:11" ht="14.4" customHeight="1" x14ac:dyDescent="0.3">
      <c r="B125" s="45"/>
      <c r="C125" s="285" t="s">
        <v>102</v>
      </c>
      <c r="D125" s="285"/>
      <c r="E125" s="69">
        <v>5000000</v>
      </c>
      <c r="G125" s="284" t="s">
        <v>47</v>
      </c>
      <c r="H125" s="284"/>
      <c r="I125" s="81">
        <f t="shared" si="12"/>
        <v>10000000</v>
      </c>
    </row>
    <row r="126" spans="2:11" ht="14.4" customHeight="1" x14ac:dyDescent="0.3">
      <c r="B126" s="45"/>
      <c r="C126" s="286" t="s">
        <v>22</v>
      </c>
      <c r="D126" s="286"/>
      <c r="E126" s="69">
        <v>7500000</v>
      </c>
      <c r="G126" s="290" t="s">
        <v>5</v>
      </c>
      <c r="H126" s="290"/>
      <c r="I126" s="64">
        <f>SUM(I112:I125)</f>
        <v>195000000</v>
      </c>
    </row>
    <row r="127" spans="2:11" ht="14.4" customHeight="1" x14ac:dyDescent="0.3">
      <c r="B127" s="45">
        <v>44873</v>
      </c>
      <c r="C127" s="286" t="s">
        <v>19</v>
      </c>
      <c r="D127" s="286"/>
      <c r="E127" s="69">
        <v>2500000</v>
      </c>
      <c r="I127" s="3"/>
      <c r="J127" s="3"/>
      <c r="K127" s="3"/>
    </row>
    <row r="128" spans="2:11" ht="14.4" customHeight="1" x14ac:dyDescent="0.3">
      <c r="B128" s="45"/>
      <c r="C128" s="284" t="s">
        <v>7</v>
      </c>
      <c r="D128" s="284"/>
      <c r="E128" s="69">
        <v>10000000</v>
      </c>
      <c r="G128" s="4"/>
      <c r="H128" s="3"/>
      <c r="I128" s="3"/>
      <c r="J128" s="3"/>
      <c r="K128" s="3"/>
    </row>
    <row r="129" spans="2:13" ht="14.4" customHeight="1" x14ac:dyDescent="0.3">
      <c r="B129" s="45">
        <v>44910</v>
      </c>
      <c r="C129" s="285" t="s">
        <v>102</v>
      </c>
      <c r="D129" s="285"/>
      <c r="E129" s="69">
        <v>5000000</v>
      </c>
      <c r="G129" s="4"/>
      <c r="H129" s="3"/>
      <c r="I129" s="3"/>
      <c r="J129" s="3"/>
      <c r="K129" s="3"/>
    </row>
    <row r="130" spans="2:13" ht="14.4" customHeight="1" x14ac:dyDescent="0.3">
      <c r="B130" s="45"/>
      <c r="C130" s="284" t="s">
        <v>104</v>
      </c>
      <c r="D130" s="284"/>
      <c r="E130" s="69">
        <v>2500000</v>
      </c>
      <c r="G130" s="4"/>
      <c r="H130" s="3"/>
      <c r="I130" s="3"/>
      <c r="J130" s="3"/>
      <c r="K130" s="3"/>
    </row>
    <row r="131" spans="2:13" ht="14.4" customHeight="1" x14ac:dyDescent="0.3">
      <c r="B131" s="45"/>
      <c r="C131" s="284" t="s">
        <v>45</v>
      </c>
      <c r="D131" s="284"/>
      <c r="E131" s="69">
        <v>2500000</v>
      </c>
      <c r="G131" s="4"/>
      <c r="H131" s="3"/>
      <c r="I131" s="3"/>
      <c r="J131" s="3"/>
      <c r="K131" s="3"/>
    </row>
    <row r="132" spans="2:13" ht="14.4" customHeight="1" x14ac:dyDescent="0.3">
      <c r="B132" s="45"/>
      <c r="C132" s="284" t="s">
        <v>46</v>
      </c>
      <c r="D132" s="284"/>
      <c r="E132" s="69">
        <v>10000000</v>
      </c>
      <c r="G132" s="4"/>
      <c r="H132" s="3"/>
      <c r="I132" s="3"/>
      <c r="J132" s="3"/>
      <c r="K132" s="3"/>
    </row>
    <row r="133" spans="2:13" ht="14.4" customHeight="1" x14ac:dyDescent="0.3">
      <c r="B133" s="45"/>
      <c r="C133" s="284" t="s">
        <v>47</v>
      </c>
      <c r="D133" s="284"/>
      <c r="E133" s="69">
        <v>10000000</v>
      </c>
      <c r="G133" s="4"/>
      <c r="H133" s="3"/>
      <c r="I133" s="3"/>
      <c r="J133" s="3"/>
      <c r="K133" s="3"/>
    </row>
    <row r="134" spans="2:13" ht="14.4" customHeight="1" x14ac:dyDescent="0.3">
      <c r="B134" s="45">
        <v>44920</v>
      </c>
      <c r="C134" s="284" t="s">
        <v>21</v>
      </c>
      <c r="D134" s="284"/>
      <c r="E134" s="79">
        <v>-2500000</v>
      </c>
      <c r="G134" s="4"/>
      <c r="H134" s="3"/>
      <c r="I134" s="3"/>
      <c r="J134" s="3"/>
      <c r="K134" s="3"/>
    </row>
    <row r="135" spans="2:13" ht="14.4" customHeight="1" x14ac:dyDescent="0.3">
      <c r="B135" s="45"/>
      <c r="C135" s="285" t="s">
        <v>17</v>
      </c>
      <c r="D135" s="285"/>
      <c r="E135" s="79">
        <v>-2500000</v>
      </c>
      <c r="G135" s="4"/>
      <c r="H135" s="3"/>
      <c r="I135" s="3"/>
      <c r="J135" s="3"/>
      <c r="K135" s="3"/>
    </row>
    <row r="136" spans="2:13" x14ac:dyDescent="0.3">
      <c r="B136" s="45"/>
      <c r="C136" s="285"/>
      <c r="D136" s="285"/>
      <c r="E136" s="80"/>
      <c r="G136" s="4"/>
      <c r="H136" s="3"/>
      <c r="I136" s="3"/>
      <c r="J136" s="3"/>
      <c r="K136" s="3"/>
    </row>
    <row r="137" spans="2:13" ht="15" thickBot="1" x14ac:dyDescent="0.35">
      <c r="B137" s="263" t="s">
        <v>5</v>
      </c>
      <c r="C137" s="293"/>
      <c r="D137" s="293"/>
      <c r="E137" s="268">
        <f>SUM(E101:E136)</f>
        <v>195000000</v>
      </c>
      <c r="G137" s="4"/>
      <c r="H137" s="3"/>
      <c r="I137" s="3"/>
      <c r="J137" s="3"/>
      <c r="K137" s="3"/>
    </row>
    <row r="140" spans="2:13" x14ac:dyDescent="0.3">
      <c r="B140" s="296" t="s">
        <v>211</v>
      </c>
      <c r="C140" s="296"/>
      <c r="D140" s="296"/>
      <c r="E140" s="296"/>
      <c r="F140" s="296"/>
      <c r="G140" s="296"/>
      <c r="H140" s="296"/>
      <c r="I140" s="296"/>
      <c r="J140" s="296"/>
      <c r="K140" s="296"/>
      <c r="L140" s="296"/>
      <c r="M140" s="296"/>
    </row>
    <row r="141" spans="2:13" x14ac:dyDescent="0.3">
      <c r="B141" s="296"/>
      <c r="C141" s="296"/>
      <c r="D141" s="296"/>
      <c r="E141" s="296"/>
      <c r="F141" s="296"/>
      <c r="G141" s="296"/>
      <c r="H141" s="296"/>
      <c r="I141" s="296"/>
      <c r="J141" s="296"/>
      <c r="K141" s="296"/>
      <c r="L141" s="296"/>
      <c r="M141" s="296"/>
    </row>
    <row r="143" spans="2:13" ht="15" thickBot="1" x14ac:dyDescent="0.35">
      <c r="B143" s="251" t="s">
        <v>211</v>
      </c>
      <c r="C143" s="147"/>
      <c r="D143" s="147"/>
      <c r="E143" s="147"/>
    </row>
    <row r="145" spans="2:5" x14ac:dyDescent="0.3">
      <c r="B145" s="250" t="s">
        <v>75</v>
      </c>
      <c r="D145" s="254" t="s">
        <v>227</v>
      </c>
      <c r="E145" s="255">
        <v>0.08</v>
      </c>
    </row>
    <row r="146" spans="2:5" x14ac:dyDescent="0.3">
      <c r="B146" s="250" t="s">
        <v>133</v>
      </c>
      <c r="D146" s="254" t="s">
        <v>227</v>
      </c>
      <c r="E146" s="255">
        <v>0.27</v>
      </c>
    </row>
    <row r="147" spans="2:5" x14ac:dyDescent="0.3">
      <c r="B147" s="250" t="s">
        <v>245</v>
      </c>
      <c r="D147" s="254" t="s">
        <v>227</v>
      </c>
      <c r="E147" s="255">
        <v>0.216</v>
      </c>
    </row>
    <row r="148" spans="2:5" x14ac:dyDescent="0.3">
      <c r="E148" s="255"/>
    </row>
  </sheetData>
  <mergeCells count="184">
    <mergeCell ref="L36:L37"/>
    <mergeCell ref="M36:M37"/>
    <mergeCell ref="B30:C30"/>
    <mergeCell ref="K36:K37"/>
    <mergeCell ref="B33:C33"/>
    <mergeCell ref="B31:C31"/>
    <mergeCell ref="B32:C32"/>
    <mergeCell ref="I53:I54"/>
    <mergeCell ref="G53:G54"/>
    <mergeCell ref="I36:I37"/>
    <mergeCell ref="J36:J37"/>
    <mergeCell ref="B69:C69"/>
    <mergeCell ref="B68:C68"/>
    <mergeCell ref="B64:C64"/>
    <mergeCell ref="B67:C67"/>
    <mergeCell ref="D62:D63"/>
    <mergeCell ref="D53:D54"/>
    <mergeCell ref="B140:M141"/>
    <mergeCell ref="B56:C56"/>
    <mergeCell ref="B57:C57"/>
    <mergeCell ref="B58:C58"/>
    <mergeCell ref="E62:E63"/>
    <mergeCell ref="G62:G63"/>
    <mergeCell ref="B75:M76"/>
    <mergeCell ref="B70:C70"/>
    <mergeCell ref="B71:C71"/>
    <mergeCell ref="B72:C72"/>
    <mergeCell ref="B62:C63"/>
    <mergeCell ref="B65:C65"/>
    <mergeCell ref="B66:C66"/>
    <mergeCell ref="J53:J54"/>
    <mergeCell ref="F53:F54"/>
    <mergeCell ref="B19:C19"/>
    <mergeCell ref="B20:C20"/>
    <mergeCell ref="B21:C21"/>
    <mergeCell ref="B22:C22"/>
    <mergeCell ref="B23:C23"/>
    <mergeCell ref="B45:C45"/>
    <mergeCell ref="B38:C38"/>
    <mergeCell ref="B39:C39"/>
    <mergeCell ref="B40:C40"/>
    <mergeCell ref="M26:M27"/>
    <mergeCell ref="L26:L27"/>
    <mergeCell ref="F62:F63"/>
    <mergeCell ref="B34:C34"/>
    <mergeCell ref="B36:C37"/>
    <mergeCell ref="B41:C41"/>
    <mergeCell ref="D36:D37"/>
    <mergeCell ref="E36:E37"/>
    <mergeCell ref="F36:F37"/>
    <mergeCell ref="G36:G37"/>
    <mergeCell ref="H36:H37"/>
    <mergeCell ref="B59:C59"/>
    <mergeCell ref="B60:C60"/>
    <mergeCell ref="B53:C54"/>
    <mergeCell ref="B50:M51"/>
    <mergeCell ref="B28:C28"/>
    <mergeCell ref="B29:C29"/>
    <mergeCell ref="B46:C46"/>
    <mergeCell ref="B47:C47"/>
    <mergeCell ref="E53:E54"/>
    <mergeCell ref="B55:C55"/>
    <mergeCell ref="B42:C42"/>
    <mergeCell ref="B43:C43"/>
    <mergeCell ref="B44:C44"/>
    <mergeCell ref="B2:M3"/>
    <mergeCell ref="K26:K27"/>
    <mergeCell ref="I26:I27"/>
    <mergeCell ref="B5:C5"/>
    <mergeCell ref="B6:C6"/>
    <mergeCell ref="B7:C7"/>
    <mergeCell ref="B8:C8"/>
    <mergeCell ref="B9:C9"/>
    <mergeCell ref="B10:C10"/>
    <mergeCell ref="B11:C11"/>
    <mergeCell ref="B12:C12"/>
    <mergeCell ref="J26:J27"/>
    <mergeCell ref="D26:D27"/>
    <mergeCell ref="E26:E27"/>
    <mergeCell ref="G26:G27"/>
    <mergeCell ref="H26:H27"/>
    <mergeCell ref="F26:F27"/>
    <mergeCell ref="B14:C14"/>
    <mergeCell ref="B15:C15"/>
    <mergeCell ref="B26:C27"/>
    <mergeCell ref="B16:C16"/>
    <mergeCell ref="B17:C17"/>
    <mergeCell ref="B18:C18"/>
    <mergeCell ref="B24:C24"/>
    <mergeCell ref="G78:G79"/>
    <mergeCell ref="D78:D79"/>
    <mergeCell ref="E78:E79"/>
    <mergeCell ref="F78:F79"/>
    <mergeCell ref="B78:C79"/>
    <mergeCell ref="J107:K107"/>
    <mergeCell ref="G102:H102"/>
    <mergeCell ref="G103:H103"/>
    <mergeCell ref="E99:E100"/>
    <mergeCell ref="B81:C81"/>
    <mergeCell ref="B80:C80"/>
    <mergeCell ref="B82:C82"/>
    <mergeCell ref="B93:C93"/>
    <mergeCell ref="B83:C83"/>
    <mergeCell ref="B84:C84"/>
    <mergeCell ref="B85:C85"/>
    <mergeCell ref="B87:C87"/>
    <mergeCell ref="B88:C88"/>
    <mergeCell ref="B89:C89"/>
    <mergeCell ref="B90:C90"/>
    <mergeCell ref="B91:C91"/>
    <mergeCell ref="B92:C92"/>
    <mergeCell ref="B86:C86"/>
    <mergeCell ref="G104:H104"/>
    <mergeCell ref="C110:D110"/>
    <mergeCell ref="C111:D111"/>
    <mergeCell ref="C112:D112"/>
    <mergeCell ref="C113:D113"/>
    <mergeCell ref="C114:D114"/>
    <mergeCell ref="C115:D115"/>
    <mergeCell ref="B99:B100"/>
    <mergeCell ref="B96:M97"/>
    <mergeCell ref="C101:D101"/>
    <mergeCell ref="C102:D102"/>
    <mergeCell ref="C103:D103"/>
    <mergeCell ref="C104:D104"/>
    <mergeCell ref="C105:D105"/>
    <mergeCell ref="C106:D106"/>
    <mergeCell ref="C107:D107"/>
    <mergeCell ref="G99:I100"/>
    <mergeCell ref="J99:L100"/>
    <mergeCell ref="J101:K101"/>
    <mergeCell ref="J102:K102"/>
    <mergeCell ref="J103:K103"/>
    <mergeCell ref="J104:K104"/>
    <mergeCell ref="J105:K105"/>
    <mergeCell ref="J106:K106"/>
    <mergeCell ref="G105:H105"/>
    <mergeCell ref="G106:H106"/>
    <mergeCell ref="G107:H107"/>
    <mergeCell ref="G108:H108"/>
    <mergeCell ref="G101:H101"/>
    <mergeCell ref="C137:D137"/>
    <mergeCell ref="C99:D100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19:D119"/>
    <mergeCell ref="C120:D120"/>
    <mergeCell ref="C121:D121"/>
    <mergeCell ref="C122:D122"/>
    <mergeCell ref="C123:D123"/>
    <mergeCell ref="C124:D124"/>
    <mergeCell ref="G110:H111"/>
    <mergeCell ref="C125:D125"/>
    <mergeCell ref="C109:D109"/>
    <mergeCell ref="C116:D116"/>
    <mergeCell ref="C127:D127"/>
    <mergeCell ref="C118:D118"/>
    <mergeCell ref="C117:D117"/>
    <mergeCell ref="J108:K108"/>
    <mergeCell ref="C126:D126"/>
    <mergeCell ref="I110:I111"/>
    <mergeCell ref="G123:H123"/>
    <mergeCell ref="G124:H124"/>
    <mergeCell ref="G125:H125"/>
    <mergeCell ref="G126:H126"/>
    <mergeCell ref="G116:H116"/>
    <mergeCell ref="G117:H117"/>
    <mergeCell ref="G118:H118"/>
    <mergeCell ref="G119:H119"/>
    <mergeCell ref="G120:H120"/>
    <mergeCell ref="G121:H121"/>
    <mergeCell ref="G122:H122"/>
    <mergeCell ref="C108:D108"/>
    <mergeCell ref="G112:H112"/>
    <mergeCell ref="G113:H113"/>
    <mergeCell ref="G114:H114"/>
    <mergeCell ref="G115:H115"/>
  </mergeCells>
  <conditionalFormatting sqref="J99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3" name="Drop Down 3">
              <controlPr defaultSize="0" autoLine="0" autoPict="0">
                <anchor moveWithCells="1">
                  <from>
                    <xdr:col>9</xdr:col>
                    <xdr:colOff>7620</xdr:colOff>
                    <xdr:row>52</xdr:row>
                    <xdr:rowOff>7620</xdr:rowOff>
                  </from>
                  <to>
                    <xdr:col>10</xdr:col>
                    <xdr:colOff>0</xdr:colOff>
                    <xdr:row>54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5F875-CF32-46C1-8D98-4579426A97DB}">
  <sheetPr>
    <pageSetUpPr fitToPage="1"/>
  </sheetPr>
  <dimension ref="A2:N159"/>
  <sheetViews>
    <sheetView showGridLines="0" topLeftCell="A145" zoomScaleNormal="100" workbookViewId="0">
      <selection activeCell="H160" sqref="H160"/>
    </sheetView>
  </sheetViews>
  <sheetFormatPr defaultRowHeight="14.4" x14ac:dyDescent="0.3"/>
  <cols>
    <col min="1" max="1" width="3.109375" customWidth="1"/>
    <col min="2" max="3" width="15.77734375" style="3" customWidth="1"/>
    <col min="4" max="5" width="15.77734375" style="4" customWidth="1"/>
    <col min="6" max="9" width="15.77734375" style="3" customWidth="1"/>
    <col min="10" max="10" width="15.77734375" style="125" customWidth="1"/>
    <col min="11" max="13" width="15.77734375" style="3" customWidth="1"/>
    <col min="14" max="14" width="11.88671875" customWidth="1"/>
    <col min="15" max="15" width="11.33203125" customWidth="1"/>
    <col min="16" max="16" width="11.6640625" customWidth="1"/>
    <col min="17" max="17" width="11.21875" customWidth="1"/>
  </cols>
  <sheetData>
    <row r="2" spans="1:14" ht="14.4" customHeight="1" x14ac:dyDescent="0.3">
      <c r="B2" s="296" t="s">
        <v>124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</row>
    <row r="3" spans="1:14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</row>
    <row r="4" spans="1:14" ht="15" customHeight="1" x14ac:dyDescent="0.3">
      <c r="A4" s="3"/>
      <c r="N4" s="3"/>
    </row>
    <row r="5" spans="1:14" ht="14.4" customHeight="1" x14ac:dyDescent="0.3">
      <c r="A5" s="3"/>
      <c r="B5" s="328" t="s">
        <v>48</v>
      </c>
      <c r="C5" s="328"/>
      <c r="D5" s="324" t="s">
        <v>110</v>
      </c>
      <c r="E5" s="324" t="s">
        <v>111</v>
      </c>
      <c r="F5" s="289" t="s">
        <v>95</v>
      </c>
      <c r="G5"/>
      <c r="N5" s="3"/>
    </row>
    <row r="6" spans="1:14" ht="14.4" customHeight="1" x14ac:dyDescent="0.3">
      <c r="A6" s="3"/>
      <c r="B6" s="328"/>
      <c r="C6" s="328"/>
      <c r="D6" s="324"/>
      <c r="E6" s="324"/>
      <c r="F6" s="289"/>
      <c r="G6"/>
      <c r="N6" s="3"/>
    </row>
    <row r="7" spans="1:14" x14ac:dyDescent="0.3">
      <c r="A7" s="3"/>
      <c r="B7" s="350" t="s">
        <v>4</v>
      </c>
      <c r="C7" s="350"/>
      <c r="D7" s="230">
        <f>Inputs!E12</f>
        <v>17346750</v>
      </c>
      <c r="E7" s="230">
        <f>Inputs!E24</f>
        <v>17382500</v>
      </c>
      <c r="F7" s="230">
        <f>SUM(D7:E7)</f>
        <v>34729250</v>
      </c>
      <c r="N7" s="3"/>
    </row>
    <row r="8" spans="1:14" x14ac:dyDescent="0.3">
      <c r="A8" s="3"/>
      <c r="B8" s="335" t="s">
        <v>11</v>
      </c>
      <c r="C8" s="335"/>
      <c r="D8" s="63">
        <f>Inputs!F12</f>
        <v>7437250</v>
      </c>
      <c r="E8" s="63">
        <f>Inputs!F24</f>
        <v>19726625</v>
      </c>
      <c r="F8" s="63">
        <f t="shared" ref="F8:F14" si="0">SUM(D8:E8)</f>
        <v>27163875</v>
      </c>
      <c r="N8" s="3"/>
    </row>
    <row r="9" spans="1:14" x14ac:dyDescent="0.3">
      <c r="A9" s="3"/>
      <c r="B9" s="335" t="s">
        <v>14</v>
      </c>
      <c r="C9" s="335"/>
      <c r="D9" s="63">
        <f>Inputs!G12</f>
        <v>2126250</v>
      </c>
      <c r="E9" s="63">
        <f>Inputs!G24</f>
        <v>0</v>
      </c>
      <c r="F9" s="63">
        <f t="shared" si="0"/>
        <v>2126250</v>
      </c>
      <c r="N9" s="3"/>
    </row>
    <row r="10" spans="1:14" x14ac:dyDescent="0.3">
      <c r="A10" s="3"/>
      <c r="B10" s="335" t="s">
        <v>15</v>
      </c>
      <c r="C10" s="335"/>
      <c r="D10" s="63">
        <f>Inputs!H12</f>
        <v>16332500</v>
      </c>
      <c r="E10" s="63">
        <f>Inputs!H24</f>
        <v>0</v>
      </c>
      <c r="F10" s="63">
        <f t="shared" si="0"/>
        <v>16332500</v>
      </c>
      <c r="N10" s="3"/>
    </row>
    <row r="11" spans="1:14" x14ac:dyDescent="0.3">
      <c r="A11" s="3"/>
      <c r="B11" s="335" t="s">
        <v>0</v>
      </c>
      <c r="C11" s="335"/>
      <c r="D11" s="63">
        <f>Inputs!I12</f>
        <v>0</v>
      </c>
      <c r="E11" s="63">
        <f>Inputs!I24</f>
        <v>10000000</v>
      </c>
      <c r="F11" s="63">
        <f t="shared" si="0"/>
        <v>10000000</v>
      </c>
      <c r="N11" s="3"/>
    </row>
    <row r="12" spans="1:14" x14ac:dyDescent="0.3">
      <c r="A12" s="3"/>
      <c r="B12" s="335" t="s">
        <v>3</v>
      </c>
      <c r="C12" s="335"/>
      <c r="D12" s="63">
        <f>Inputs!J12</f>
        <v>1035750</v>
      </c>
      <c r="E12" s="63">
        <f>Inputs!J24</f>
        <v>345750</v>
      </c>
      <c r="F12" s="63">
        <f t="shared" si="0"/>
        <v>1381500</v>
      </c>
      <c r="N12" s="3"/>
    </row>
    <row r="13" spans="1:14" x14ac:dyDescent="0.3">
      <c r="A13" s="3"/>
      <c r="B13" s="335" t="s">
        <v>1</v>
      </c>
      <c r="C13" s="335"/>
      <c r="D13" s="63">
        <f>Inputs!K12</f>
        <v>5654500</v>
      </c>
      <c r="E13" s="63">
        <f>Inputs!K24</f>
        <v>2545125</v>
      </c>
      <c r="F13" s="63">
        <f t="shared" si="0"/>
        <v>8199625</v>
      </c>
      <c r="N13" s="3"/>
    </row>
    <row r="14" spans="1:14" x14ac:dyDescent="0.3">
      <c r="A14" s="3"/>
      <c r="B14" s="335" t="s">
        <v>2</v>
      </c>
      <c r="C14" s="335"/>
      <c r="D14" s="63">
        <f>Inputs!L12</f>
        <v>67000</v>
      </c>
      <c r="E14" s="63">
        <f>Inputs!L24</f>
        <v>0</v>
      </c>
      <c r="F14" s="63">
        <f t="shared" si="0"/>
        <v>67000</v>
      </c>
      <c r="N14" s="3"/>
    </row>
    <row r="15" spans="1:14" ht="15" thickBot="1" x14ac:dyDescent="0.35">
      <c r="A15" s="3"/>
      <c r="B15" s="336" t="s">
        <v>5</v>
      </c>
      <c r="C15" s="336"/>
      <c r="D15" s="261">
        <f>SUM(D7:D14)</f>
        <v>50000000</v>
      </c>
      <c r="E15" s="261">
        <f>SUM(E7:E14)</f>
        <v>50000000</v>
      </c>
      <c r="F15" s="261">
        <f>SUM(F7:F14)</f>
        <v>100000000</v>
      </c>
      <c r="N15" s="3"/>
    </row>
    <row r="16" spans="1:14" x14ac:dyDescent="0.3">
      <c r="A16" s="3"/>
      <c r="N16" s="3"/>
    </row>
    <row r="17" spans="1:14" x14ac:dyDescent="0.3">
      <c r="A17" s="3"/>
      <c r="B17" s="329" t="s">
        <v>85</v>
      </c>
      <c r="C17" s="329"/>
      <c r="D17" s="333" t="s">
        <v>110</v>
      </c>
      <c r="E17" s="324" t="s">
        <v>111</v>
      </c>
      <c r="F17" s="348" t="s">
        <v>95</v>
      </c>
      <c r="N17" s="3"/>
    </row>
    <row r="18" spans="1:14" x14ac:dyDescent="0.3">
      <c r="A18" s="3"/>
      <c r="B18" s="329"/>
      <c r="C18" s="329"/>
      <c r="D18" s="333"/>
      <c r="E18" s="324"/>
      <c r="F18" s="348"/>
      <c r="N18" s="3"/>
    </row>
    <row r="19" spans="1:14" x14ac:dyDescent="0.3">
      <c r="A19" s="3"/>
      <c r="B19" s="331" t="s">
        <v>77</v>
      </c>
      <c r="C19" s="331"/>
      <c r="D19" s="240">
        <f>Inputs!E34</f>
        <v>30812250</v>
      </c>
      <c r="E19" s="240">
        <f>Inputs!E47</f>
        <v>22525000</v>
      </c>
      <c r="F19" s="230">
        <f>SUM(D19:E19)</f>
        <v>53337250</v>
      </c>
      <c r="N19" s="3"/>
    </row>
    <row r="20" spans="1:14" x14ac:dyDescent="0.3">
      <c r="A20" s="3"/>
      <c r="B20" s="330" t="s">
        <v>76</v>
      </c>
      <c r="C20" s="330"/>
      <c r="D20" s="65">
        <f>Inputs!F34</f>
        <v>13257750</v>
      </c>
      <c r="E20" s="65">
        <f>Inputs!F47</f>
        <v>19060000</v>
      </c>
      <c r="F20" s="63">
        <f t="shared" ref="F20:F26" si="1">SUM(D20:E20)</f>
        <v>32317750</v>
      </c>
      <c r="N20" s="3"/>
    </row>
    <row r="21" spans="1:14" x14ac:dyDescent="0.3">
      <c r="A21" s="3"/>
      <c r="B21" s="325" t="s">
        <v>81</v>
      </c>
      <c r="C21" s="325"/>
      <c r="D21" s="65">
        <f>Inputs!G34</f>
        <v>1775000</v>
      </c>
      <c r="E21" s="65">
        <f>Inputs!G47</f>
        <v>1584500</v>
      </c>
      <c r="F21" s="63">
        <f t="shared" si="1"/>
        <v>3359500</v>
      </c>
      <c r="N21" s="3"/>
    </row>
    <row r="22" spans="1:14" x14ac:dyDescent="0.3">
      <c r="A22" s="3"/>
      <c r="B22" s="325" t="s">
        <v>78</v>
      </c>
      <c r="C22" s="325"/>
      <c r="D22" s="65">
        <f>Inputs!H34</f>
        <v>425000</v>
      </c>
      <c r="E22" s="65">
        <f>Inputs!H47</f>
        <v>605000</v>
      </c>
      <c r="F22" s="63">
        <f t="shared" si="1"/>
        <v>1030000</v>
      </c>
      <c r="N22" s="3"/>
    </row>
    <row r="23" spans="1:14" x14ac:dyDescent="0.3">
      <c r="A23" s="3"/>
      <c r="B23" s="325" t="s">
        <v>84</v>
      </c>
      <c r="C23" s="325"/>
      <c r="D23" s="65">
        <f>Inputs!I34</f>
        <v>3095000</v>
      </c>
      <c r="E23" s="65">
        <f>Inputs!I47</f>
        <v>5598500</v>
      </c>
      <c r="F23" s="63">
        <f t="shared" si="1"/>
        <v>8693500</v>
      </c>
      <c r="N23" s="3"/>
    </row>
    <row r="24" spans="1:14" x14ac:dyDescent="0.3">
      <c r="A24" s="3"/>
      <c r="B24" s="325" t="s">
        <v>82</v>
      </c>
      <c r="C24" s="325"/>
      <c r="D24" s="65">
        <f>Inputs!J34</f>
        <v>150000</v>
      </c>
      <c r="E24" s="65">
        <f>Inputs!J47</f>
        <v>181500</v>
      </c>
      <c r="F24" s="63">
        <f t="shared" si="1"/>
        <v>331500</v>
      </c>
      <c r="N24" s="3"/>
    </row>
    <row r="25" spans="1:14" x14ac:dyDescent="0.3">
      <c r="A25" s="3"/>
      <c r="B25" s="325" t="s">
        <v>83</v>
      </c>
      <c r="C25" s="325"/>
      <c r="D25" s="65">
        <f>Inputs!K34</f>
        <v>0</v>
      </c>
      <c r="E25" s="65">
        <f>Inputs!K47</f>
        <v>69000</v>
      </c>
      <c r="F25" s="63">
        <f t="shared" si="1"/>
        <v>69000</v>
      </c>
      <c r="N25" s="3"/>
    </row>
    <row r="26" spans="1:14" x14ac:dyDescent="0.3">
      <c r="A26" s="3"/>
      <c r="B26" s="325" t="s">
        <v>80</v>
      </c>
      <c r="C26" s="325"/>
      <c r="D26" s="65">
        <f>Inputs!L34</f>
        <v>485000</v>
      </c>
      <c r="E26" s="65">
        <f>Inputs!L47</f>
        <v>376500</v>
      </c>
      <c r="F26" s="63">
        <f t="shared" si="1"/>
        <v>861500</v>
      </c>
      <c r="N26" s="3"/>
    </row>
    <row r="27" spans="1:14" ht="15" thickBot="1" x14ac:dyDescent="0.35">
      <c r="A27" s="3"/>
      <c r="B27" s="326" t="s">
        <v>5</v>
      </c>
      <c r="C27" s="326"/>
      <c r="D27" s="261">
        <f>SUM(D19:D26)</f>
        <v>50000000</v>
      </c>
      <c r="E27" s="261">
        <f>SUM(E19:E26)</f>
        <v>50000000</v>
      </c>
      <c r="F27" s="261">
        <f>SUM(F19:F26)</f>
        <v>100000000</v>
      </c>
      <c r="N27" s="3"/>
    </row>
    <row r="28" spans="1:14" x14ac:dyDescent="0.3">
      <c r="A28" s="3"/>
      <c r="N28" s="3"/>
    </row>
    <row r="29" spans="1:14" x14ac:dyDescent="0.3">
      <c r="A29" s="3"/>
      <c r="N29" s="3"/>
    </row>
    <row r="30" spans="1:14" ht="14.4" customHeight="1" x14ac:dyDescent="0.3">
      <c r="A30" s="3"/>
      <c r="B30" s="296" t="s">
        <v>127</v>
      </c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</row>
    <row r="31" spans="1:14" ht="15" customHeight="1" x14ac:dyDescent="0.3">
      <c r="A31" s="3"/>
      <c r="B31" s="296"/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</row>
    <row r="32" spans="1:14" x14ac:dyDescent="0.3">
      <c r="A32" s="3"/>
      <c r="N32" s="3"/>
    </row>
    <row r="33" spans="1:14" ht="14.4" customHeight="1" x14ac:dyDescent="0.3">
      <c r="A33" s="3"/>
      <c r="B33" s="306" t="s">
        <v>110</v>
      </c>
      <c r="C33" s="306"/>
      <c r="D33" s="324" t="s">
        <v>50</v>
      </c>
      <c r="E33" s="289" t="s">
        <v>49</v>
      </c>
      <c r="F33" s="289" t="s">
        <v>51</v>
      </c>
      <c r="G33" s="289" t="s">
        <v>52</v>
      </c>
      <c r="K33" s="349" t="s">
        <v>51</v>
      </c>
      <c r="L33" s="347">
        <f>(G41+G55)/(D41+D55)</f>
        <v>0.14764250000000001</v>
      </c>
      <c r="N33" s="3"/>
    </row>
    <row r="34" spans="1:14" x14ac:dyDescent="0.3">
      <c r="A34" s="3"/>
      <c r="B34" s="306"/>
      <c r="C34" s="306"/>
      <c r="D34" s="324"/>
      <c r="E34" s="289"/>
      <c r="F34" s="289"/>
      <c r="G34" s="289"/>
      <c r="K34" s="349"/>
      <c r="L34" s="347"/>
      <c r="N34" s="3"/>
    </row>
    <row r="35" spans="1:14" x14ac:dyDescent="0.3">
      <c r="A35" s="3"/>
      <c r="B35" s="291" t="s">
        <v>16</v>
      </c>
      <c r="C35" s="291"/>
      <c r="D35" s="230">
        <f>Inputs!D6</f>
        <v>10000000</v>
      </c>
      <c r="E35" s="228">
        <f>D35/$D$41</f>
        <v>0.2</v>
      </c>
      <c r="F35" s="228">
        <f>Inputs!G55</f>
        <v>7.3999999999999996E-2</v>
      </c>
      <c r="G35" s="230">
        <f>D35*F35</f>
        <v>740000</v>
      </c>
      <c r="K35" s="334" t="s">
        <v>55</v>
      </c>
      <c r="L35" s="332">
        <v>0.125</v>
      </c>
      <c r="N35" s="3"/>
    </row>
    <row r="36" spans="1:14" x14ac:dyDescent="0.3">
      <c r="A36" s="3"/>
      <c r="B36" s="286" t="s">
        <v>19</v>
      </c>
      <c r="C36" s="286"/>
      <c r="D36" s="63">
        <f>Inputs!D7</f>
        <v>2500000</v>
      </c>
      <c r="E36" s="35">
        <f t="shared" ref="E36:E40" si="2">D36/$D$41</f>
        <v>0.05</v>
      </c>
      <c r="F36" s="35">
        <f>Inputs!G56</f>
        <v>0.185</v>
      </c>
      <c r="G36" s="63">
        <f t="shared" ref="G36:G40" si="3">D36*F36</f>
        <v>462500</v>
      </c>
      <c r="K36" s="334"/>
      <c r="L36" s="332"/>
      <c r="N36" s="3"/>
    </row>
    <row r="37" spans="1:14" x14ac:dyDescent="0.3">
      <c r="A37" s="3"/>
      <c r="B37" s="286" t="s">
        <v>18</v>
      </c>
      <c r="C37" s="286"/>
      <c r="D37" s="63">
        <f>Inputs!D8</f>
        <v>15000000</v>
      </c>
      <c r="E37" s="35">
        <f>D37/$D$41</f>
        <v>0.3</v>
      </c>
      <c r="F37" s="35">
        <f>Inputs!G57</f>
        <v>0.14879999999999999</v>
      </c>
      <c r="G37" s="63">
        <f>D37*F37</f>
        <v>2232000</v>
      </c>
      <c r="N37" s="3"/>
    </row>
    <row r="38" spans="1:14" x14ac:dyDescent="0.3">
      <c r="A38" s="3"/>
      <c r="B38" s="286" t="s">
        <v>101</v>
      </c>
      <c r="C38" s="286"/>
      <c r="D38" s="63">
        <f>Inputs!D9</f>
        <v>7500000</v>
      </c>
      <c r="E38" s="35">
        <f t="shared" si="2"/>
        <v>0.15</v>
      </c>
      <c r="F38" s="35">
        <f>Inputs!G58</f>
        <v>0.12130000000000001</v>
      </c>
      <c r="G38" s="63">
        <f t="shared" si="3"/>
        <v>909750</v>
      </c>
      <c r="L38" s="9"/>
      <c r="N38" s="3"/>
    </row>
    <row r="39" spans="1:14" x14ac:dyDescent="0.3">
      <c r="A39" s="3"/>
      <c r="B39" s="286" t="s">
        <v>17</v>
      </c>
      <c r="C39" s="286"/>
      <c r="D39" s="63">
        <f>Inputs!D10</f>
        <v>5000000</v>
      </c>
      <c r="E39" s="35">
        <f t="shared" si="2"/>
        <v>0.1</v>
      </c>
      <c r="F39" s="35">
        <f>Inputs!G59</f>
        <v>9.3600000000000003E-2</v>
      </c>
      <c r="G39" s="63">
        <f t="shared" si="3"/>
        <v>468000</v>
      </c>
      <c r="N39" s="3"/>
    </row>
    <row r="40" spans="1:14" x14ac:dyDescent="0.3">
      <c r="A40" s="3"/>
      <c r="B40" s="286" t="s">
        <v>100</v>
      </c>
      <c r="C40" s="286"/>
      <c r="D40" s="63">
        <f>Inputs!D11</f>
        <v>10000000</v>
      </c>
      <c r="E40" s="35">
        <f t="shared" si="2"/>
        <v>0.2</v>
      </c>
      <c r="F40" s="35">
        <f>Inputs!G60</f>
        <v>0.108</v>
      </c>
      <c r="G40" s="63">
        <f t="shared" si="3"/>
        <v>1080000</v>
      </c>
      <c r="N40" s="3"/>
    </row>
    <row r="41" spans="1:14" ht="15" thickBot="1" x14ac:dyDescent="0.35">
      <c r="A41" s="3"/>
      <c r="B41" s="309" t="s">
        <v>5</v>
      </c>
      <c r="C41" s="309"/>
      <c r="D41" s="259">
        <f>SUM(D35:D40)</f>
        <v>50000000</v>
      </c>
      <c r="E41" s="260">
        <f>SUM(E35:E40)</f>
        <v>1</v>
      </c>
      <c r="F41" s="262">
        <f>G41/D41</f>
        <v>0.11784500000000001</v>
      </c>
      <c r="G41" s="261">
        <f>SUM(G35:G40)</f>
        <v>5892250</v>
      </c>
      <c r="N41" s="3"/>
    </row>
    <row r="42" spans="1:14" x14ac:dyDescent="0.3">
      <c r="A42" s="3"/>
      <c r="D42" s="3"/>
      <c r="E42" s="3"/>
      <c r="N42" s="3"/>
    </row>
    <row r="43" spans="1:14" ht="15" customHeight="1" x14ac:dyDescent="0.3">
      <c r="A43" s="3"/>
      <c r="E43" s="3"/>
      <c r="N43" s="3"/>
    </row>
    <row r="44" spans="1:14" ht="14.4" customHeight="1" x14ac:dyDescent="0.3">
      <c r="A44" s="3"/>
      <c r="B44" s="306" t="s">
        <v>111</v>
      </c>
      <c r="C44" s="306"/>
      <c r="D44" s="333" t="s">
        <v>50</v>
      </c>
      <c r="E44" s="289" t="s">
        <v>49</v>
      </c>
      <c r="F44" s="289" t="s">
        <v>51</v>
      </c>
      <c r="G44" s="289" t="s">
        <v>52</v>
      </c>
      <c r="N44" s="3"/>
    </row>
    <row r="45" spans="1:14" x14ac:dyDescent="0.3">
      <c r="A45" s="3"/>
      <c r="B45" s="306"/>
      <c r="C45" s="306"/>
      <c r="D45" s="333"/>
      <c r="E45" s="289"/>
      <c r="F45" s="289"/>
      <c r="G45" s="289"/>
      <c r="N45" s="3"/>
    </row>
    <row r="46" spans="1:14" x14ac:dyDescent="0.3">
      <c r="A46" s="3"/>
      <c r="B46" s="291" t="s">
        <v>103</v>
      </c>
      <c r="C46" s="291"/>
      <c r="D46" s="240">
        <f>Inputs!D15</f>
        <v>5000000</v>
      </c>
      <c r="E46" s="228">
        <f>D46/$D$55</f>
        <v>0.1</v>
      </c>
      <c r="F46" s="228">
        <f>Inputs!G64</f>
        <v>0.129</v>
      </c>
      <c r="G46" s="230">
        <f t="shared" ref="G46:G54" si="4">D46*F46</f>
        <v>645000</v>
      </c>
      <c r="N46" s="3"/>
    </row>
    <row r="47" spans="1:14" x14ac:dyDescent="0.3">
      <c r="A47" s="3"/>
      <c r="B47" s="286" t="s">
        <v>7</v>
      </c>
      <c r="C47" s="286"/>
      <c r="D47" s="65">
        <f>Inputs!D16</f>
        <v>10000000</v>
      </c>
      <c r="E47" s="35">
        <f t="shared" ref="E47:E54" si="5">D47/$D$55</f>
        <v>0.2</v>
      </c>
      <c r="F47" s="35">
        <f>Inputs!G65</f>
        <v>0.2084</v>
      </c>
      <c r="G47" s="63">
        <f>D47*F47</f>
        <v>2084000</v>
      </c>
      <c r="N47" s="3"/>
    </row>
    <row r="48" spans="1:14" x14ac:dyDescent="0.3">
      <c r="A48" s="3"/>
      <c r="B48" s="286" t="s">
        <v>6</v>
      </c>
      <c r="C48" s="286"/>
      <c r="D48" s="65">
        <f>Inputs!D17</f>
        <v>5000000</v>
      </c>
      <c r="E48" s="35">
        <f t="shared" si="5"/>
        <v>0.1</v>
      </c>
      <c r="F48" s="35">
        <f>Inputs!G66</f>
        <v>0.1348</v>
      </c>
      <c r="G48" s="63">
        <f t="shared" si="4"/>
        <v>674000</v>
      </c>
      <c r="N48" s="3"/>
    </row>
    <row r="49" spans="1:14" x14ac:dyDescent="0.3">
      <c r="A49" s="3"/>
      <c r="B49" s="286" t="s">
        <v>12</v>
      </c>
      <c r="C49" s="286"/>
      <c r="D49" s="65">
        <f>Inputs!D18</f>
        <v>2500000</v>
      </c>
      <c r="E49" s="35">
        <f t="shared" si="5"/>
        <v>0.05</v>
      </c>
      <c r="F49" s="35">
        <f>Inputs!G67</f>
        <v>0.158</v>
      </c>
      <c r="G49" s="63">
        <f t="shared" si="4"/>
        <v>395000</v>
      </c>
      <c r="I49" s="7"/>
      <c r="N49" s="3"/>
    </row>
    <row r="50" spans="1:14" x14ac:dyDescent="0.3">
      <c r="A50" s="3"/>
      <c r="B50" s="286" t="s">
        <v>104</v>
      </c>
      <c r="C50" s="286"/>
      <c r="D50" s="65">
        <f>Inputs!D19</f>
        <v>3750000</v>
      </c>
      <c r="E50" s="35">
        <f t="shared" si="5"/>
        <v>7.4999999999999997E-2</v>
      </c>
      <c r="F50" s="35">
        <f>Inputs!G68</f>
        <v>0.1434</v>
      </c>
      <c r="G50" s="63">
        <f t="shared" si="4"/>
        <v>537750</v>
      </c>
      <c r="N50" s="3"/>
    </row>
    <row r="51" spans="1:14" x14ac:dyDescent="0.3">
      <c r="A51" s="3"/>
      <c r="B51" s="286" t="s">
        <v>45</v>
      </c>
      <c r="C51" s="286"/>
      <c r="D51" s="65">
        <f>Inputs!D20</f>
        <v>3750000</v>
      </c>
      <c r="E51" s="35">
        <f t="shared" si="5"/>
        <v>7.4999999999999997E-2</v>
      </c>
      <c r="F51" s="35">
        <f>Inputs!G69</f>
        <v>0.22919999999999999</v>
      </c>
      <c r="G51" s="63">
        <f t="shared" si="4"/>
        <v>859500</v>
      </c>
      <c r="N51" s="3"/>
    </row>
    <row r="52" spans="1:14" x14ac:dyDescent="0.3">
      <c r="A52" s="3"/>
      <c r="B52" s="286" t="s">
        <v>46</v>
      </c>
      <c r="C52" s="286"/>
      <c r="D52" s="65">
        <f>Inputs!D21</f>
        <v>12500000</v>
      </c>
      <c r="E52" s="35">
        <f t="shared" si="5"/>
        <v>0.25</v>
      </c>
      <c r="F52" s="35">
        <f>Inputs!G70</f>
        <v>0.2185</v>
      </c>
      <c r="G52" s="63">
        <f t="shared" si="4"/>
        <v>2731250</v>
      </c>
      <c r="N52" s="3"/>
    </row>
    <row r="53" spans="1:14" x14ac:dyDescent="0.3">
      <c r="A53" s="3"/>
      <c r="B53" s="286" t="s">
        <v>53</v>
      </c>
      <c r="C53" s="286"/>
      <c r="D53" s="65">
        <f>Inputs!D22</f>
        <v>5000000</v>
      </c>
      <c r="E53" s="35">
        <f t="shared" si="5"/>
        <v>0.1</v>
      </c>
      <c r="F53" s="35">
        <f>Inputs!G71</f>
        <v>0.16109999999999999</v>
      </c>
      <c r="G53" s="63">
        <f t="shared" si="4"/>
        <v>805500</v>
      </c>
      <c r="N53" s="3"/>
    </row>
    <row r="54" spans="1:14" x14ac:dyDescent="0.3">
      <c r="A54" s="3"/>
      <c r="B54" s="286" t="s">
        <v>13</v>
      </c>
      <c r="C54" s="286"/>
      <c r="D54" s="65">
        <f>Inputs!D23</f>
        <v>2500000</v>
      </c>
      <c r="E54" s="35">
        <f t="shared" si="5"/>
        <v>0.05</v>
      </c>
      <c r="F54" s="35">
        <f>Inputs!G72</f>
        <v>5.6000000000000001E-2</v>
      </c>
      <c r="G54" s="63">
        <f t="shared" si="4"/>
        <v>140000</v>
      </c>
      <c r="N54" s="3"/>
    </row>
    <row r="55" spans="1:14" ht="15" thickBot="1" x14ac:dyDescent="0.35">
      <c r="A55" s="3"/>
      <c r="B55" s="309" t="s">
        <v>5</v>
      </c>
      <c r="C55" s="309"/>
      <c r="D55" s="259">
        <f>SUM(D46:D54)</f>
        <v>50000000</v>
      </c>
      <c r="E55" s="260">
        <f>SUM(E46:E54)</f>
        <v>1</v>
      </c>
      <c r="F55" s="260">
        <f>G55/D55</f>
        <v>0.17743999999999999</v>
      </c>
      <c r="G55" s="261">
        <f>SUM(G46:G54)</f>
        <v>8872000</v>
      </c>
      <c r="N55" s="3"/>
    </row>
    <row r="56" spans="1:14" x14ac:dyDescent="0.3">
      <c r="A56" s="3"/>
      <c r="D56" s="3"/>
      <c r="E56" s="3"/>
      <c r="N56" s="3"/>
    </row>
    <row r="57" spans="1:14" ht="14.4" customHeight="1" x14ac:dyDescent="0.3">
      <c r="E57" s="3"/>
    </row>
    <row r="58" spans="1:14" ht="12.6" customHeight="1" x14ac:dyDescent="0.3">
      <c r="B58" s="296" t="s">
        <v>99</v>
      </c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  <c r="N58" s="296"/>
    </row>
    <row r="59" spans="1:14" ht="14.4" customHeight="1" x14ac:dyDescent="0.3">
      <c r="B59" s="296"/>
      <c r="C59" s="296"/>
      <c r="D59" s="296"/>
      <c r="E59" s="296"/>
      <c r="F59" s="296"/>
      <c r="G59" s="296"/>
      <c r="H59" s="296"/>
      <c r="I59" s="296"/>
      <c r="J59" s="296"/>
      <c r="K59" s="296"/>
      <c r="L59" s="296"/>
      <c r="M59" s="296"/>
      <c r="N59" s="296"/>
    </row>
    <row r="60" spans="1:14" x14ac:dyDescent="0.3">
      <c r="D60" s="3"/>
      <c r="E60" s="12"/>
      <c r="F60" s="12"/>
      <c r="G60" s="12"/>
      <c r="H60" s="12"/>
      <c r="I60" s="12"/>
      <c r="J60" s="126"/>
      <c r="K60" s="12"/>
      <c r="L60" s="12"/>
      <c r="M60" s="12"/>
    </row>
    <row r="61" spans="1:14" ht="14.4" customHeight="1" x14ac:dyDescent="0.3">
      <c r="B61" s="306" t="s">
        <v>97</v>
      </c>
      <c r="C61" s="306"/>
      <c r="D61" s="289" t="s">
        <v>52</v>
      </c>
      <c r="E61" s="289" t="s">
        <v>132</v>
      </c>
      <c r="F61" s="289" t="s">
        <v>131</v>
      </c>
      <c r="G61" s="289" t="s">
        <v>98</v>
      </c>
      <c r="H61" s="289" t="s">
        <v>121</v>
      </c>
      <c r="I61" s="289" t="s">
        <v>244</v>
      </c>
      <c r="K61" s="358" t="s">
        <v>122</v>
      </c>
      <c r="L61" s="337">
        <f>H78/(D41+D55)</f>
        <v>0.11403707658950001</v>
      </c>
    </row>
    <row r="62" spans="1:14" x14ac:dyDescent="0.3">
      <c r="B62" s="306"/>
      <c r="C62" s="306"/>
      <c r="D62" s="289"/>
      <c r="E62" s="289"/>
      <c r="F62" s="289"/>
      <c r="G62" s="289"/>
      <c r="H62" s="289"/>
      <c r="I62" s="343"/>
      <c r="K62" s="359"/>
      <c r="L62" s="338"/>
    </row>
    <row r="63" spans="1:14" ht="14.4" customHeight="1" x14ac:dyDescent="0.3">
      <c r="B63" s="291" t="s">
        <v>16</v>
      </c>
      <c r="C63" s="291"/>
      <c r="D63" s="47">
        <f t="shared" ref="D63:D68" si="6">G35</f>
        <v>740000</v>
      </c>
      <c r="E63" s="241">
        <f>D63*SUM(Inputs!G6,Inputs!H6,Inputs!J6,Inputs!K6,Inputs!L6)*$L$67</f>
        <v>1998.0000000000002</v>
      </c>
      <c r="F63" s="241">
        <f>D63*SUM(Inputs!E6,Inputs!F6,Inputs!I6)*$L$69</f>
        <v>158241.60000000001</v>
      </c>
      <c r="G63" s="241">
        <f>E63+F63</f>
        <v>160239.6</v>
      </c>
      <c r="H63" s="241">
        <f>D63-G63</f>
        <v>579760.4</v>
      </c>
      <c r="I63" s="253">
        <f>H63/D35</f>
        <v>5.797604E-2</v>
      </c>
      <c r="K63" s="334" t="s">
        <v>129</v>
      </c>
      <c r="L63" s="339">
        <v>0.1</v>
      </c>
    </row>
    <row r="64" spans="1:14" x14ac:dyDescent="0.3">
      <c r="B64" s="286" t="s">
        <v>19</v>
      </c>
      <c r="C64" s="286"/>
      <c r="D64" s="37">
        <f t="shared" si="6"/>
        <v>462500</v>
      </c>
      <c r="E64" s="46">
        <f>D64*SUM(Inputs!G7,Inputs!H7,Inputs!J7,Inputs!K7,Inputs!L7)*$L$67</f>
        <v>38336.625000000007</v>
      </c>
      <c r="F64" s="46">
        <f>D64*SUM(Inputs!E7,Inputs!F7,Inputs!I7)*$L$69</f>
        <v>69230.7</v>
      </c>
      <c r="G64" s="46">
        <f t="shared" ref="G63:G77" si="7">E64+F64</f>
        <v>107567.32500000001</v>
      </c>
      <c r="H64" s="46">
        <f t="shared" ref="H64:H76" si="8">D64-G64</f>
        <v>354932.67499999999</v>
      </c>
      <c r="I64" s="253">
        <f>H64/D36</f>
        <v>0.14197307000000001</v>
      </c>
      <c r="K64" s="334"/>
      <c r="L64" s="340"/>
    </row>
    <row r="65" spans="2:12" x14ac:dyDescent="0.3">
      <c r="B65" s="286" t="s">
        <v>18</v>
      </c>
      <c r="C65" s="286"/>
      <c r="D65" s="37">
        <f t="shared" si="6"/>
        <v>2232000</v>
      </c>
      <c r="E65" s="46">
        <f>D65*SUM(Inputs!G8,Inputs!H8,Inputs!J8,Inputs!K8,Inputs!L8)*$L$67</f>
        <v>181816.48799999998</v>
      </c>
      <c r="F65" s="46">
        <f>D65*SUM(Inputs!E8,Inputs!F8,Inputs!I8)*$L$69</f>
        <v>336658.80960000004</v>
      </c>
      <c r="G65" s="46">
        <f t="shared" si="7"/>
        <v>518475.29760000005</v>
      </c>
      <c r="H65" s="46">
        <f t="shared" si="8"/>
        <v>1713524.7023999998</v>
      </c>
      <c r="I65" s="253">
        <f t="shared" ref="I63:I68" si="9">H65/D37</f>
        <v>0.11423498015999999</v>
      </c>
      <c r="K65" s="127"/>
    </row>
    <row r="66" spans="2:12" x14ac:dyDescent="0.3">
      <c r="B66" s="286" t="s">
        <v>101</v>
      </c>
      <c r="C66" s="286"/>
      <c r="D66" s="37">
        <f t="shared" si="6"/>
        <v>909750</v>
      </c>
      <c r="E66" s="46">
        <f>D66*SUM(Inputs!G9,Inputs!H9,Inputs!J9,Inputs!K9,Inputs!L9)*$L$67</f>
        <v>161478.80550000005</v>
      </c>
      <c r="F66" s="46">
        <f>D66*SUM(Inputs!E9,Inputs!F9,Inputs!I9)*$L$69</f>
        <v>67322.955600000001</v>
      </c>
      <c r="G66" s="46">
        <f t="shared" si="7"/>
        <v>228801.76110000006</v>
      </c>
      <c r="H66" s="46">
        <f t="shared" si="8"/>
        <v>680948.2389</v>
      </c>
      <c r="I66" s="253">
        <f t="shared" si="9"/>
        <v>9.0793098520000004E-2</v>
      </c>
      <c r="K66" s="127"/>
    </row>
    <row r="67" spans="2:12" x14ac:dyDescent="0.3">
      <c r="B67" s="286" t="s">
        <v>17</v>
      </c>
      <c r="C67" s="286"/>
      <c r="D67" s="37">
        <f t="shared" si="6"/>
        <v>468000</v>
      </c>
      <c r="E67" s="46">
        <f>D67*SUM(Inputs!G10,Inputs!H10,Inputs!J10,Inputs!K10,Inputs!L10)*$L$67</f>
        <v>123643.26000000001</v>
      </c>
      <c r="F67" s="46">
        <f>D67*SUM(Inputs!E10,Inputs!F10,Inputs!I10)*$L$69</f>
        <v>2173.3919999999998</v>
      </c>
      <c r="G67" s="46">
        <f t="shared" si="7"/>
        <v>125816.652</v>
      </c>
      <c r="H67" s="46">
        <f t="shared" si="8"/>
        <v>342183.348</v>
      </c>
      <c r="I67" s="253">
        <f t="shared" si="9"/>
        <v>6.84366696E-2</v>
      </c>
      <c r="K67" s="349" t="s">
        <v>133</v>
      </c>
      <c r="L67" s="347">
        <f>Inputs!E146</f>
        <v>0.27</v>
      </c>
    </row>
    <row r="68" spans="2:12" x14ac:dyDescent="0.3">
      <c r="B68" s="286" t="s">
        <v>100</v>
      </c>
      <c r="C68" s="286"/>
      <c r="D68" s="37">
        <f t="shared" si="6"/>
        <v>1080000</v>
      </c>
      <c r="E68" s="46">
        <f>D68*SUM(Inputs!G11,Inputs!H11,Inputs!J11,Inputs!K11,Inputs!L11)*$L$67</f>
        <v>291600</v>
      </c>
      <c r="F68" s="46">
        <f>D68*SUM(Inputs!E11,Inputs!F11,Inputs!I11)*$L$69</f>
        <v>0</v>
      </c>
      <c r="G68" s="46">
        <f t="shared" si="7"/>
        <v>291600</v>
      </c>
      <c r="H68" s="46">
        <f t="shared" si="8"/>
        <v>788400</v>
      </c>
      <c r="I68" s="253">
        <f t="shared" si="9"/>
        <v>7.8839999999999993E-2</v>
      </c>
      <c r="K68" s="349"/>
      <c r="L68" s="347"/>
    </row>
    <row r="69" spans="2:12" x14ac:dyDescent="0.3">
      <c r="B69" s="286" t="s">
        <v>103</v>
      </c>
      <c r="C69" s="286"/>
      <c r="D69" s="37">
        <f t="shared" ref="D69:D77" si="10">G46</f>
        <v>645000</v>
      </c>
      <c r="E69" s="46">
        <f>D69*SUM(Inputs!G15,Inputs!H15,Inputs!J15,Inputs!K15,Inputs!L15)*$L$67</f>
        <v>0</v>
      </c>
      <c r="F69" s="46">
        <f>D69*SUM(Inputs!E15,Inputs!F15,Inputs!I15)*$L$69</f>
        <v>139320</v>
      </c>
      <c r="G69" s="46">
        <f t="shared" si="7"/>
        <v>139320</v>
      </c>
      <c r="H69" s="46">
        <f t="shared" si="8"/>
        <v>505680</v>
      </c>
      <c r="I69" s="253">
        <f t="shared" ref="I69:I77" si="11">H69/D46</f>
        <v>0.101136</v>
      </c>
      <c r="K69" s="349" t="s">
        <v>130</v>
      </c>
      <c r="L69" s="347">
        <f>Inputs!E147</f>
        <v>0.216</v>
      </c>
    </row>
    <row r="70" spans="2:12" x14ac:dyDescent="0.3">
      <c r="B70" s="286" t="s">
        <v>7</v>
      </c>
      <c r="C70" s="286"/>
      <c r="D70" s="37">
        <f t="shared" si="10"/>
        <v>2084000</v>
      </c>
      <c r="E70" s="46">
        <f>D70*SUM(Inputs!G16,Inputs!H16,Inputs!J16,Inputs!K16,Inputs!L16)*$L$67</f>
        <v>0</v>
      </c>
      <c r="F70" s="46">
        <f>D70*SUM(Inputs!E16,Inputs!F16,Inputs!I16)*$L$69</f>
        <v>450144</v>
      </c>
      <c r="G70" s="46">
        <f t="shared" si="7"/>
        <v>450144</v>
      </c>
      <c r="H70" s="46">
        <f t="shared" si="8"/>
        <v>1633856</v>
      </c>
      <c r="I70" s="253">
        <f t="shared" si="11"/>
        <v>0.16338559999999999</v>
      </c>
      <c r="K70" s="349"/>
      <c r="L70" s="347"/>
    </row>
    <row r="71" spans="2:12" x14ac:dyDescent="0.3">
      <c r="B71" s="286" t="s">
        <v>6</v>
      </c>
      <c r="C71" s="286"/>
      <c r="D71" s="37">
        <f t="shared" si="10"/>
        <v>674000</v>
      </c>
      <c r="E71" s="46">
        <f>D71*SUM(Inputs!G17,Inputs!H17,Inputs!J17,Inputs!K17,Inputs!L17)*$L$67</f>
        <v>3803.3820000000001</v>
      </c>
      <c r="F71" s="46">
        <f>D71*SUM(Inputs!E17,Inputs!F17,Inputs!I17)*$L$69</f>
        <v>142541.29440000001</v>
      </c>
      <c r="G71" s="46">
        <f t="shared" si="7"/>
        <v>146344.67640000003</v>
      </c>
      <c r="H71" s="46">
        <f t="shared" si="8"/>
        <v>527655.3236</v>
      </c>
      <c r="I71" s="253">
        <f t="shared" si="11"/>
        <v>0.10553106472</v>
      </c>
    </row>
    <row r="72" spans="2:12" x14ac:dyDescent="0.3">
      <c r="B72" s="286" t="s">
        <v>12</v>
      </c>
      <c r="C72" s="286"/>
      <c r="D72" s="37">
        <f t="shared" si="10"/>
        <v>395000</v>
      </c>
      <c r="E72" s="46">
        <f>D72*SUM(Inputs!G18,Inputs!H18,Inputs!J18,Inputs!K18,Inputs!L18)*$L$67</f>
        <v>0</v>
      </c>
      <c r="F72" s="46">
        <f>D72*SUM(Inputs!E18,Inputs!F18,Inputs!I18)*$L$69</f>
        <v>85320</v>
      </c>
      <c r="G72" s="46">
        <f t="shared" si="7"/>
        <v>85320</v>
      </c>
      <c r="H72" s="46">
        <f t="shared" si="8"/>
        <v>309680</v>
      </c>
      <c r="I72" s="253">
        <f t="shared" si="11"/>
        <v>0.123872</v>
      </c>
    </row>
    <row r="73" spans="2:12" x14ac:dyDescent="0.3">
      <c r="B73" s="286" t="s">
        <v>104</v>
      </c>
      <c r="C73" s="286"/>
      <c r="D73" s="37">
        <f t="shared" si="10"/>
        <v>537750</v>
      </c>
      <c r="E73" s="46">
        <f>D73*SUM(Inputs!G19,Inputs!H19,Inputs!J19,Inputs!K19,Inputs!L19)*$L$67</f>
        <v>595.28925000000004</v>
      </c>
      <c r="F73" s="46">
        <f>D73*SUM(Inputs!E19,Inputs!F19,Inputs!I19)*$L$69</f>
        <v>115677.7686</v>
      </c>
      <c r="G73" s="46">
        <f t="shared" si="7"/>
        <v>116273.05785</v>
      </c>
      <c r="H73" s="46">
        <f t="shared" si="8"/>
        <v>421476.94215000002</v>
      </c>
      <c r="I73" s="253">
        <f t="shared" si="11"/>
        <v>0.11239385124000001</v>
      </c>
    </row>
    <row r="74" spans="2:12" x14ac:dyDescent="0.3">
      <c r="B74" s="286" t="s">
        <v>45</v>
      </c>
      <c r="C74" s="286"/>
      <c r="D74" s="37">
        <f t="shared" si="10"/>
        <v>859500</v>
      </c>
      <c r="E74" s="46">
        <f>D74*SUM(Inputs!G20,Inputs!H20,Inputs!J20,Inputs!K20,Inputs!L20)*$L$67</f>
        <v>9932.3819999999996</v>
      </c>
      <c r="F74" s="46">
        <f>D74*SUM(Inputs!E20,Inputs!F20,Inputs!I20)*$L$69</f>
        <v>177706.0944</v>
      </c>
      <c r="G74" s="46">
        <f t="shared" si="7"/>
        <v>187638.47640000001</v>
      </c>
      <c r="H74" s="46">
        <f t="shared" si="8"/>
        <v>671861.52359999996</v>
      </c>
      <c r="I74" s="253">
        <f t="shared" si="11"/>
        <v>0.17916307295999997</v>
      </c>
    </row>
    <row r="75" spans="2:12" x14ac:dyDescent="0.3">
      <c r="B75" s="286" t="s">
        <v>46</v>
      </c>
      <c r="C75" s="286"/>
      <c r="D75" s="37">
        <f t="shared" si="10"/>
        <v>2731250</v>
      </c>
      <c r="E75" s="46">
        <f>D75*SUM(Inputs!G21,Inputs!H21,Inputs!J21,Inputs!K21,Inputs!L21)*$L$67</f>
        <v>5752.0125000000007</v>
      </c>
      <c r="F75" s="46">
        <f>D75*SUM(Inputs!E21,Inputs!F21,Inputs!I21)*$L$69</f>
        <v>585348.39</v>
      </c>
      <c r="G75" s="46">
        <f t="shared" si="7"/>
        <v>591100.40249999997</v>
      </c>
      <c r="H75" s="46">
        <f t="shared" si="8"/>
        <v>2140149.5975000001</v>
      </c>
      <c r="I75" s="253">
        <f t="shared" si="11"/>
        <v>0.1712119678</v>
      </c>
    </row>
    <row r="76" spans="2:12" x14ac:dyDescent="0.3">
      <c r="B76" s="286" t="s">
        <v>53</v>
      </c>
      <c r="C76" s="286"/>
      <c r="D76" s="37">
        <f t="shared" si="10"/>
        <v>805500</v>
      </c>
      <c r="E76" s="46">
        <f>D76*SUM(Inputs!G22,Inputs!H22,Inputs!J22,Inputs!K22,Inputs!L22)*$L$67</f>
        <v>565.46100000000001</v>
      </c>
      <c r="F76" s="46">
        <f>D76*SUM(Inputs!E22,Inputs!F22,Inputs!I22)*$L$69</f>
        <v>173535.63119999997</v>
      </c>
      <c r="G76" s="46">
        <f t="shared" si="7"/>
        <v>174101.09219999998</v>
      </c>
      <c r="H76" s="46">
        <f t="shared" si="8"/>
        <v>631398.90780000004</v>
      </c>
      <c r="I76" s="253">
        <f t="shared" si="11"/>
        <v>0.12627978156</v>
      </c>
    </row>
    <row r="77" spans="2:12" x14ac:dyDescent="0.3">
      <c r="B77" s="327" t="s">
        <v>13</v>
      </c>
      <c r="C77" s="327"/>
      <c r="D77" s="53">
        <f t="shared" si="10"/>
        <v>140000</v>
      </c>
      <c r="E77" s="46">
        <f>D77*SUM(Inputs!G23,Inputs!H23,Inputs!J23,Inputs!K23,Inputs!L23)*$L$67</f>
        <v>37800</v>
      </c>
      <c r="F77" s="46">
        <f>D77*SUM(Inputs!E23,Inputs!F23,Inputs!I23)*$L$69</f>
        <v>0</v>
      </c>
      <c r="G77" s="54">
        <f t="shared" si="7"/>
        <v>37800</v>
      </c>
      <c r="H77" s="54">
        <f>D77-G77</f>
        <v>102200</v>
      </c>
      <c r="I77" s="253">
        <f t="shared" si="11"/>
        <v>4.088E-2</v>
      </c>
    </row>
    <row r="78" spans="2:12" s="2" customFormat="1" ht="15" thickBot="1" x14ac:dyDescent="0.35">
      <c r="B78" s="351" t="s">
        <v>5</v>
      </c>
      <c r="C78" s="352"/>
      <c r="D78" s="256">
        <f>SUM(D63:D77)</f>
        <v>14764250</v>
      </c>
      <c r="E78" s="257">
        <f>SUM(E63:E77)</f>
        <v>857321.70525</v>
      </c>
      <c r="F78" s="257">
        <f>SUM(F63:F77)</f>
        <v>2503220.6358000003</v>
      </c>
      <c r="G78" s="257">
        <f>SUM(G63:G77)</f>
        <v>3360542.3410499999</v>
      </c>
      <c r="H78" s="257">
        <f>SUM(H63:H77)</f>
        <v>11403707.658950001</v>
      </c>
      <c r="I78" s="258">
        <f>H78/(D27+D41)</f>
        <v>0.11403707658950001</v>
      </c>
      <c r="J78" s="125"/>
      <c r="K78" s="7"/>
    </row>
    <row r="81" spans="2:14" x14ac:dyDescent="0.3">
      <c r="B81" s="296" t="s">
        <v>243</v>
      </c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</row>
    <row r="82" spans="2:14" x14ac:dyDescent="0.3">
      <c r="B82" s="296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</row>
    <row r="83" spans="2:14" x14ac:dyDescent="0.3">
      <c r="E83" s="3"/>
    </row>
    <row r="84" spans="2:14" x14ac:dyDescent="0.3">
      <c r="B84" s="360" t="s">
        <v>108</v>
      </c>
      <c r="C84" s="361"/>
      <c r="D84" s="364" t="s">
        <v>109</v>
      </c>
      <c r="E84" s="341" t="s">
        <v>64</v>
      </c>
      <c r="F84" s="366" t="s">
        <v>65</v>
      </c>
      <c r="G84" s="341" t="s">
        <v>72</v>
      </c>
      <c r="H84" s="343" t="s">
        <v>74</v>
      </c>
      <c r="I84" s="343" t="s">
        <v>246</v>
      </c>
      <c r="K84" s="355" t="s">
        <v>75</v>
      </c>
      <c r="L84" s="357">
        <f>Inputs!E145</f>
        <v>0.08</v>
      </c>
    </row>
    <row r="85" spans="2:14" x14ac:dyDescent="0.3">
      <c r="B85" s="362"/>
      <c r="C85" s="363"/>
      <c r="D85" s="365"/>
      <c r="E85" s="342"/>
      <c r="F85" s="367"/>
      <c r="G85" s="342"/>
      <c r="H85" s="344"/>
      <c r="I85" s="344"/>
      <c r="K85" s="356"/>
      <c r="L85" s="357"/>
    </row>
    <row r="86" spans="2:14" x14ac:dyDescent="0.3">
      <c r="B86" s="345" t="s">
        <v>16</v>
      </c>
      <c r="C86" s="346"/>
      <c r="D86" s="252">
        <f>Inputs!D80</f>
        <v>0.14899999999999999</v>
      </c>
      <c r="E86" s="252">
        <f>Inputs!E80</f>
        <v>-0.14299999999999999</v>
      </c>
      <c r="F86" s="252" t="str">
        <f>Inputs!F80</f>
        <v>USD</v>
      </c>
      <c r="G86" s="252">
        <f>Inputs!G80</f>
        <v>0</v>
      </c>
      <c r="H86" s="236">
        <f>(F35-$L$84)/D86</f>
        <v>-4.0268456375838965E-2</v>
      </c>
      <c r="I86" s="252" t="s">
        <v>247</v>
      </c>
    </row>
    <row r="87" spans="2:14" x14ac:dyDescent="0.3">
      <c r="B87" s="353" t="s">
        <v>19</v>
      </c>
      <c r="C87" s="354"/>
      <c r="D87" s="252">
        <f>Inputs!D81</f>
        <v>8.7999999999999995E-2</v>
      </c>
      <c r="E87" s="252">
        <f>Inputs!E81</f>
        <v>-3.3000000000000002E-2</v>
      </c>
      <c r="F87" s="252" t="str">
        <f>Inputs!F81</f>
        <v>TWD, GBP, HKD, ZAR, EUR, USD</v>
      </c>
      <c r="G87" s="252">
        <f>Inputs!G81</f>
        <v>0</v>
      </c>
      <c r="H87" s="236">
        <f t="shared" ref="H86:H91" si="12">(F36-$L$84)/D87</f>
        <v>1.1931818181818181</v>
      </c>
      <c r="I87" s="252" t="s">
        <v>248</v>
      </c>
    </row>
    <row r="88" spans="2:14" x14ac:dyDescent="0.3">
      <c r="B88" s="353" t="s">
        <v>18</v>
      </c>
      <c r="C88" s="354"/>
      <c r="D88" s="252">
        <f>Inputs!D82</f>
        <v>7.7700000000000005E-2</v>
      </c>
      <c r="E88" s="252">
        <f>Inputs!E82</f>
        <v>-7.2599999999999998E-2</v>
      </c>
      <c r="F88" s="252" t="str">
        <f>Inputs!F82</f>
        <v>ZAR, CNY, USD</v>
      </c>
      <c r="G88" s="252">
        <f>Inputs!G82</f>
        <v>0</v>
      </c>
      <c r="H88" s="236">
        <f>(F37-$L$84)/D88</f>
        <v>0.88545688545688517</v>
      </c>
      <c r="I88" s="252" t="s">
        <v>249</v>
      </c>
    </row>
    <row r="89" spans="2:14" x14ac:dyDescent="0.3">
      <c r="B89" s="353" t="s">
        <v>101</v>
      </c>
      <c r="C89" s="354"/>
      <c r="D89" s="252">
        <f>Inputs!D83</f>
        <v>4.3200000000000002E-2</v>
      </c>
      <c r="E89" s="252">
        <f>Inputs!E83</f>
        <v>-2.4E-2</v>
      </c>
      <c r="F89" s="252" t="str">
        <f>Inputs!F83</f>
        <v>ZAR</v>
      </c>
      <c r="G89" s="252">
        <f>Inputs!G83</f>
        <v>0</v>
      </c>
      <c r="H89" s="236">
        <f t="shared" si="12"/>
        <v>0.9560185185185186</v>
      </c>
      <c r="I89" s="252" t="s">
        <v>250</v>
      </c>
    </row>
    <row r="90" spans="2:14" x14ac:dyDescent="0.3">
      <c r="B90" s="353" t="s">
        <v>17</v>
      </c>
      <c r="C90" s="354"/>
      <c r="D90" s="252">
        <f>Inputs!D84</f>
        <v>1.55E-2</v>
      </c>
      <c r="E90" s="252">
        <f>Inputs!E84</f>
        <v>-5.0000000000000001E-3</v>
      </c>
      <c r="F90" s="252" t="str">
        <f>Inputs!F84</f>
        <v>ZAR</v>
      </c>
      <c r="G90" s="252">
        <f>Inputs!G84</f>
        <v>0</v>
      </c>
      <c r="H90" s="236">
        <f t="shared" si="12"/>
        <v>0.8774193548387097</v>
      </c>
      <c r="I90" s="252" t="s">
        <v>250</v>
      </c>
    </row>
    <row r="91" spans="2:14" x14ac:dyDescent="0.3">
      <c r="B91" s="353" t="s">
        <v>100</v>
      </c>
      <c r="C91" s="354"/>
      <c r="D91" s="252">
        <f>Inputs!D85</f>
        <v>3.7900000000000003E-2</v>
      </c>
      <c r="E91" s="252">
        <f>Inputs!E85</f>
        <v>-2.01E-2</v>
      </c>
      <c r="F91" s="252" t="str">
        <f>Inputs!F85</f>
        <v>ZAR</v>
      </c>
      <c r="G91" s="252">
        <f>Inputs!G85</f>
        <v>0</v>
      </c>
      <c r="H91" s="236">
        <f t="shared" si="12"/>
        <v>0.73878627968337718</v>
      </c>
      <c r="I91" s="252" t="s">
        <v>250</v>
      </c>
    </row>
    <row r="92" spans="2:14" x14ac:dyDescent="0.3">
      <c r="B92" s="353" t="s">
        <v>103</v>
      </c>
      <c r="C92" s="354"/>
      <c r="D92" s="252">
        <f>Inputs!D86</f>
        <v>0.13500000000000001</v>
      </c>
      <c r="E92" s="252">
        <f>Inputs!E86</f>
        <v>-0.18</v>
      </c>
      <c r="F92" s="252" t="str">
        <f>Inputs!F86</f>
        <v>USD, JPY, CNY, CAD, TWD, GBP, KRW, AUD, EUR, IND</v>
      </c>
      <c r="G92" s="252">
        <f>Inputs!G86</f>
        <v>5.3E-3</v>
      </c>
      <c r="H92" s="236">
        <f t="shared" ref="H92:H99" si="13">(F46-$L$84)/D92</f>
        <v>0.36296296296296293</v>
      </c>
      <c r="I92" s="252" t="s">
        <v>251</v>
      </c>
    </row>
    <row r="93" spans="2:14" x14ac:dyDescent="0.3">
      <c r="B93" s="353" t="s">
        <v>7</v>
      </c>
      <c r="C93" s="354"/>
      <c r="D93" s="252">
        <f>Inputs!D87</f>
        <v>0.15509999999999999</v>
      </c>
      <c r="E93" s="252">
        <f>Inputs!E87</f>
        <v>-0.27789999999999998</v>
      </c>
      <c r="F93" s="252" t="str">
        <f>Inputs!F87</f>
        <v>USD, BWP, ZAR</v>
      </c>
      <c r="G93" s="252">
        <f>Inputs!G87</f>
        <v>1.6999999999999999E-3</v>
      </c>
      <c r="H93" s="236">
        <f t="shared" si="13"/>
        <v>0.82785299806576418</v>
      </c>
      <c r="I93" s="252" t="s">
        <v>247</v>
      </c>
    </row>
    <row r="94" spans="2:14" x14ac:dyDescent="0.3">
      <c r="B94" s="353" t="s">
        <v>20</v>
      </c>
      <c r="C94" s="354"/>
      <c r="D94" s="252">
        <f>Inputs!D88</f>
        <v>0.1489</v>
      </c>
      <c r="E94" s="252">
        <f>Inputs!E88</f>
        <v>-0.191</v>
      </c>
      <c r="F94" s="252" t="str">
        <f>Inputs!F88</f>
        <v>USD, JPY, GBP, CAD, EUR, CHF, EUR, AUD, EUR, SEK, HKD</v>
      </c>
      <c r="G94" s="252">
        <f>Inputs!G88</f>
        <v>8.6E-3</v>
      </c>
      <c r="H94" s="236">
        <f t="shared" si="13"/>
        <v>0.36803223640026861</v>
      </c>
      <c r="I94" s="252" t="s">
        <v>251</v>
      </c>
    </row>
    <row r="95" spans="2:14" x14ac:dyDescent="0.3">
      <c r="B95" s="353" t="s">
        <v>21</v>
      </c>
      <c r="C95" s="354"/>
      <c r="D95" s="252">
        <f>Inputs!D89</f>
        <v>0.161</v>
      </c>
      <c r="E95" s="252">
        <f>Inputs!E89</f>
        <v>-0.184</v>
      </c>
      <c r="F95" s="252" t="str">
        <f>Inputs!F89</f>
        <v>USD</v>
      </c>
      <c r="G95" s="252">
        <f>Inputs!G89</f>
        <v>6.8999999999999999E-3</v>
      </c>
      <c r="H95" s="236">
        <f t="shared" si="13"/>
        <v>0.48447204968944096</v>
      </c>
      <c r="I95" s="252" t="s">
        <v>251</v>
      </c>
    </row>
    <row r="96" spans="2:14" x14ac:dyDescent="0.3">
      <c r="B96" s="353" t="s">
        <v>104</v>
      </c>
      <c r="C96" s="354"/>
      <c r="D96" s="252">
        <f>Inputs!D90</f>
        <v>0.115</v>
      </c>
      <c r="E96" s="252">
        <f>Inputs!E90</f>
        <v>-0.129</v>
      </c>
      <c r="F96" s="252" t="str">
        <f>Inputs!F90</f>
        <v>ZAR</v>
      </c>
      <c r="G96" s="252">
        <f>Inputs!G90</f>
        <v>1.23E-2</v>
      </c>
      <c r="H96" s="236">
        <f t="shared" si="13"/>
        <v>0.55130434782608695</v>
      </c>
      <c r="I96" s="252" t="s">
        <v>249</v>
      </c>
    </row>
    <row r="97" spans="2:14" x14ac:dyDescent="0.3">
      <c r="B97" s="353" t="s">
        <v>45</v>
      </c>
      <c r="C97" s="354"/>
      <c r="D97" s="252">
        <f>Inputs!D91</f>
        <v>0.17</v>
      </c>
      <c r="E97" s="252">
        <f>Inputs!E91</f>
        <v>-0.5</v>
      </c>
      <c r="F97" s="252" t="str">
        <f>Inputs!F91</f>
        <v>ZAR</v>
      </c>
      <c r="G97" s="252">
        <f>Inputs!G91</f>
        <v>9.2999999999999992E-3</v>
      </c>
      <c r="H97" s="236">
        <f t="shared" si="13"/>
        <v>0.87764705882352934</v>
      </c>
      <c r="I97" s="252" t="s">
        <v>247</v>
      </c>
    </row>
    <row r="98" spans="2:14" x14ac:dyDescent="0.3">
      <c r="B98" s="353" t="s">
        <v>46</v>
      </c>
      <c r="C98" s="354"/>
      <c r="D98" s="252">
        <f>Inputs!D92</f>
        <v>0.13</v>
      </c>
      <c r="E98" s="252">
        <f>Inputs!E92</f>
        <v>-0.33</v>
      </c>
      <c r="F98" s="252" t="str">
        <f>Inputs!F92</f>
        <v>ZAR</v>
      </c>
      <c r="G98" s="252">
        <f>Inputs!G92</f>
        <v>8.3000000000000001E-3</v>
      </c>
      <c r="H98" s="236">
        <f t="shared" si="13"/>
        <v>1.0653846153846154</v>
      </c>
      <c r="I98" s="252" t="s">
        <v>251</v>
      </c>
    </row>
    <row r="99" spans="2:14" x14ac:dyDescent="0.3">
      <c r="B99" s="353" t="s">
        <v>47</v>
      </c>
      <c r="C99" s="354"/>
      <c r="D99" s="252">
        <f>Inputs!D93</f>
        <v>0.18</v>
      </c>
      <c r="E99" s="252">
        <f>Inputs!E93</f>
        <v>-0.12859999999999999</v>
      </c>
      <c r="F99" s="252" t="str">
        <f>Inputs!F93</f>
        <v>CNY, TWD, INR, KRW, MYR, IDR, THB</v>
      </c>
      <c r="G99" s="252">
        <f>Inputs!G93</f>
        <v>5.3E-3</v>
      </c>
      <c r="H99" s="236">
        <f t="shared" si="13"/>
        <v>0.45055555555555554</v>
      </c>
      <c r="I99" s="252" t="s">
        <v>247</v>
      </c>
    </row>
    <row r="102" spans="2:14" ht="14.4" customHeight="1" x14ac:dyDescent="0.3">
      <c r="B102" s="296" t="s">
        <v>96</v>
      </c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</row>
    <row r="103" spans="2:14" ht="15" customHeight="1" x14ac:dyDescent="0.3">
      <c r="B103" s="296"/>
      <c r="C103" s="296"/>
      <c r="D103" s="296"/>
      <c r="E103" s="296"/>
      <c r="F103" s="296"/>
      <c r="G103" s="296"/>
      <c r="H103" s="296"/>
      <c r="I103" s="296"/>
      <c r="J103" s="296"/>
      <c r="K103" s="296"/>
      <c r="L103" s="296"/>
      <c r="M103" s="296"/>
      <c r="N103" s="296"/>
    </row>
    <row r="105" spans="2:14" x14ac:dyDescent="0.3">
      <c r="B105" s="323" t="s">
        <v>106</v>
      </c>
      <c r="C105" s="311" t="s">
        <v>105</v>
      </c>
      <c r="D105" s="311"/>
      <c r="E105" s="311" t="s">
        <v>59</v>
      </c>
      <c r="F105" s="311"/>
      <c r="G105" s="289" t="s">
        <v>9</v>
      </c>
      <c r="H105" s="289"/>
      <c r="I105" s="324" t="s">
        <v>10</v>
      </c>
      <c r="J105" s="324"/>
    </row>
    <row r="106" spans="2:14" ht="27.6" x14ac:dyDescent="0.3">
      <c r="B106" s="323"/>
      <c r="C106" s="244" t="s">
        <v>110</v>
      </c>
      <c r="D106" s="239" t="s">
        <v>111</v>
      </c>
      <c r="E106" s="239" t="s">
        <v>110</v>
      </c>
      <c r="F106" s="239" t="s">
        <v>111</v>
      </c>
      <c r="G106" s="227" t="s">
        <v>110</v>
      </c>
      <c r="H106" s="227" t="s">
        <v>114</v>
      </c>
      <c r="I106" s="227" t="s">
        <v>110</v>
      </c>
      <c r="J106" s="227" t="s">
        <v>114</v>
      </c>
    </row>
    <row r="107" spans="2:14" x14ac:dyDescent="0.3">
      <c r="B107" s="51">
        <v>44583</v>
      </c>
      <c r="C107" s="66">
        <v>1250000</v>
      </c>
      <c r="D107" s="67">
        <v>2750000</v>
      </c>
      <c r="E107" s="68">
        <f>C107</f>
        <v>1250000</v>
      </c>
      <c r="F107" s="68">
        <f>D107</f>
        <v>2750000</v>
      </c>
      <c r="G107" s="49">
        <v>0</v>
      </c>
      <c r="H107" s="49">
        <v>0</v>
      </c>
      <c r="I107" s="242">
        <f>G107</f>
        <v>0</v>
      </c>
      <c r="J107" s="243">
        <f>H107</f>
        <v>0</v>
      </c>
    </row>
    <row r="108" spans="2:14" x14ac:dyDescent="0.3">
      <c r="B108" s="52">
        <v>44614</v>
      </c>
      <c r="C108" s="69">
        <v>0</v>
      </c>
      <c r="D108" s="70">
        <v>0</v>
      </c>
      <c r="E108" s="70">
        <v>1255000</v>
      </c>
      <c r="F108" s="70">
        <v>2776409</v>
      </c>
      <c r="G108" s="38">
        <f>(E108/(E107+C108))-1</f>
        <v>4.0000000000000036E-3</v>
      </c>
      <c r="H108" s="38">
        <f>(F108/(F107+D108))-1</f>
        <v>9.6032727272727936E-3</v>
      </c>
      <c r="I108" s="48">
        <f>I107+G108</f>
        <v>4.0000000000000036E-3</v>
      </c>
      <c r="J108" s="218">
        <f>J107+H108</f>
        <v>9.6032727272727936E-3</v>
      </c>
    </row>
    <row r="109" spans="2:14" x14ac:dyDescent="0.3">
      <c r="B109" s="52">
        <v>44642</v>
      </c>
      <c r="C109" s="69">
        <v>1000000</v>
      </c>
      <c r="D109" s="70">
        <v>1000000</v>
      </c>
      <c r="E109" s="70">
        <v>2287669</v>
      </c>
      <c r="F109" s="70">
        <v>3819591</v>
      </c>
      <c r="G109" s="38">
        <f t="shared" ref="G108:H110" si="14">(E109/(E108+C109))-1</f>
        <v>1.4487361419068812E-2</v>
      </c>
      <c r="H109" s="38">
        <f t="shared" si="14"/>
        <v>1.1434672462649065E-2</v>
      </c>
      <c r="I109" s="48">
        <f>I108+G109</f>
        <v>1.8487361419068815E-2</v>
      </c>
      <c r="J109" s="218">
        <f>J108+H109</f>
        <v>2.1037945189921858E-2</v>
      </c>
    </row>
    <row r="110" spans="2:14" x14ac:dyDescent="0.3">
      <c r="B110" s="52">
        <v>44673</v>
      </c>
      <c r="C110" s="69">
        <v>0</v>
      </c>
      <c r="D110" s="70">
        <v>0</v>
      </c>
      <c r="E110" s="70">
        <v>2280066</v>
      </c>
      <c r="F110" s="70">
        <v>3820596</v>
      </c>
      <c r="G110" s="38">
        <f t="shared" si="14"/>
        <v>-3.3234703097344553E-3</v>
      </c>
      <c r="H110" s="38">
        <f t="shared" si="14"/>
        <v>2.6311717668203727E-4</v>
      </c>
      <c r="I110" s="48">
        <f t="shared" ref="I110:J124" si="15">I109+G110</f>
        <v>1.516389110933436E-2</v>
      </c>
      <c r="J110" s="218">
        <f>J109+H110</f>
        <v>2.1301062366603896E-2</v>
      </c>
    </row>
    <row r="111" spans="2:14" x14ac:dyDescent="0.3">
      <c r="B111" s="52">
        <v>44703</v>
      </c>
      <c r="C111" s="69">
        <v>3000000</v>
      </c>
      <c r="D111" s="70">
        <v>0</v>
      </c>
      <c r="E111" s="70">
        <v>5326163</v>
      </c>
      <c r="F111" s="70">
        <v>3856911</v>
      </c>
      <c r="G111" s="38">
        <f t="shared" ref="G111:H136" si="16">(E111/(E110+C111))-1</f>
        <v>8.7303832944511939E-3</v>
      </c>
      <c r="H111" s="38">
        <f t="shared" si="16"/>
        <v>9.5050615139626871E-3</v>
      </c>
      <c r="I111" s="48">
        <f t="shared" si="15"/>
        <v>2.3894274403785554E-2</v>
      </c>
      <c r="J111" s="218">
        <f>J110+H111</f>
        <v>3.0806123880566583E-2</v>
      </c>
    </row>
    <row r="112" spans="2:14" x14ac:dyDescent="0.3">
      <c r="B112" s="52">
        <v>44734</v>
      </c>
      <c r="C112" s="69">
        <v>1750000</v>
      </c>
      <c r="D112" s="70">
        <v>2000000</v>
      </c>
      <c r="E112" s="70">
        <v>7394725</v>
      </c>
      <c r="F112" s="70">
        <v>6050720</v>
      </c>
      <c r="G112" s="38">
        <f t="shared" si="16"/>
        <v>4.5019030793948644E-2</v>
      </c>
      <c r="H112" s="38">
        <f t="shared" si="16"/>
        <v>3.3090651368955504E-2</v>
      </c>
      <c r="I112" s="48">
        <f t="shared" si="15"/>
        <v>6.8913305197734198E-2</v>
      </c>
      <c r="J112" s="218">
        <f>J111+H112</f>
        <v>6.3896775249522086E-2</v>
      </c>
    </row>
    <row r="113" spans="2:10" x14ac:dyDescent="0.3">
      <c r="B113" s="52">
        <v>44764</v>
      </c>
      <c r="C113" s="69">
        <v>0</v>
      </c>
      <c r="D113" s="70">
        <v>0</v>
      </c>
      <c r="E113" s="70">
        <v>7446986</v>
      </c>
      <c r="F113" s="70">
        <v>6115419</v>
      </c>
      <c r="G113" s="38">
        <f t="shared" si="16"/>
        <v>7.0673351612129398E-3</v>
      </c>
      <c r="H113" s="38">
        <f t="shared" si="16"/>
        <v>1.0692777057936809E-2</v>
      </c>
      <c r="I113" s="48">
        <f t="shared" si="15"/>
        <v>7.5980640358947138E-2</v>
      </c>
      <c r="J113" s="218">
        <f t="shared" si="15"/>
        <v>7.4589552307458895E-2</v>
      </c>
    </row>
    <row r="114" spans="2:10" x14ac:dyDescent="0.3">
      <c r="B114" s="52">
        <v>44795</v>
      </c>
      <c r="C114" s="69">
        <v>0</v>
      </c>
      <c r="D114" s="70">
        <v>0</v>
      </c>
      <c r="E114" s="70">
        <v>7478216</v>
      </c>
      <c r="F114" s="70">
        <v>5802468</v>
      </c>
      <c r="G114" s="38">
        <f t="shared" si="16"/>
        <v>4.1936429046596224E-3</v>
      </c>
      <c r="H114" s="38">
        <f>(F114/(F113+D114))-1</f>
        <v>-5.1174089624930086E-2</v>
      </c>
      <c r="I114" s="48">
        <f t="shared" si="15"/>
        <v>8.017428326360676E-2</v>
      </c>
      <c r="J114" s="218">
        <f t="shared" si="15"/>
        <v>2.3415462682528809E-2</v>
      </c>
    </row>
    <row r="115" spans="2:10" x14ac:dyDescent="0.3">
      <c r="B115" s="52">
        <v>44826</v>
      </c>
      <c r="C115" s="69">
        <v>500000</v>
      </c>
      <c r="D115" s="70">
        <v>0</v>
      </c>
      <c r="E115" s="70">
        <v>8119638</v>
      </c>
      <c r="F115" s="70">
        <v>6228933</v>
      </c>
      <c r="G115" s="38">
        <f t="shared" si="16"/>
        <v>1.7726017946869232E-2</v>
      </c>
      <c r="H115" s="38">
        <f t="shared" si="16"/>
        <v>7.3497173961148965E-2</v>
      </c>
      <c r="I115" s="48">
        <f t="shared" si="15"/>
        <v>9.7900301210475993E-2</v>
      </c>
      <c r="J115" s="218">
        <f t="shared" si="15"/>
        <v>9.6912636643677774E-2</v>
      </c>
    </row>
    <row r="116" spans="2:10" x14ac:dyDescent="0.3">
      <c r="B116" s="52">
        <v>44856</v>
      </c>
      <c r="C116" s="69">
        <v>2000000</v>
      </c>
      <c r="D116" s="70">
        <v>500000</v>
      </c>
      <c r="E116" s="70">
        <v>10253619</v>
      </c>
      <c r="F116" s="70">
        <v>6895421</v>
      </c>
      <c r="G116" s="38">
        <f t="shared" si="16"/>
        <v>1.3239702843125478E-2</v>
      </c>
      <c r="H116" s="38">
        <f t="shared" si="16"/>
        <v>2.4742109930355971E-2</v>
      </c>
      <c r="I116" s="48">
        <f t="shared" si="15"/>
        <v>0.11114000405360147</v>
      </c>
      <c r="J116" s="218">
        <f t="shared" si="15"/>
        <v>0.12165474657403375</v>
      </c>
    </row>
    <row r="117" spans="2:10" x14ac:dyDescent="0.3">
      <c r="B117" s="52">
        <v>44887</v>
      </c>
      <c r="C117" s="69">
        <v>250000</v>
      </c>
      <c r="D117" s="70">
        <v>1000000</v>
      </c>
      <c r="E117" s="70">
        <v>9901266</v>
      </c>
      <c r="F117" s="70">
        <v>7122890</v>
      </c>
      <c r="G117" s="38">
        <f t="shared" si="16"/>
        <v>-5.7347186717263798E-2</v>
      </c>
      <c r="H117" s="38">
        <f t="shared" si="16"/>
        <v>-9.7845447380196737E-2</v>
      </c>
      <c r="I117" s="48">
        <f t="shared" si="15"/>
        <v>5.3792817336337673E-2</v>
      </c>
      <c r="J117" s="218">
        <f t="shared" si="15"/>
        <v>2.3809299193837008E-2</v>
      </c>
    </row>
    <row r="118" spans="2:10" x14ac:dyDescent="0.3">
      <c r="B118" s="52">
        <v>44917</v>
      </c>
      <c r="C118" s="69">
        <v>250000</v>
      </c>
      <c r="D118" s="70">
        <v>2750000</v>
      </c>
      <c r="E118" s="70">
        <v>10759739</v>
      </c>
      <c r="F118" s="70">
        <v>10559244</v>
      </c>
      <c r="G118" s="38">
        <f t="shared" si="16"/>
        <v>5.9940602482488448E-2</v>
      </c>
      <c r="H118" s="38">
        <f t="shared" si="16"/>
        <v>6.9519056730096285E-2</v>
      </c>
      <c r="I118" s="48">
        <f t="shared" si="15"/>
        <v>0.11373341981882612</v>
      </c>
      <c r="J118" s="218">
        <f t="shared" si="15"/>
        <v>9.3328355923933293E-2</v>
      </c>
    </row>
    <row r="119" spans="2:10" x14ac:dyDescent="0.3">
      <c r="B119" s="52">
        <v>44948</v>
      </c>
      <c r="C119" s="69">
        <v>0</v>
      </c>
      <c r="D119" s="70">
        <v>0</v>
      </c>
      <c r="E119" s="70">
        <v>11025840</v>
      </c>
      <c r="F119" s="70">
        <v>10392655</v>
      </c>
      <c r="G119" s="38">
        <f t="shared" si="16"/>
        <v>2.4731176100089458E-2</v>
      </c>
      <c r="H119" s="38">
        <f t="shared" si="16"/>
        <v>-1.5776602946195761E-2</v>
      </c>
      <c r="I119" s="48">
        <f t="shared" si="15"/>
        <v>0.13846459591891558</v>
      </c>
      <c r="J119" s="218">
        <f t="shared" si="15"/>
        <v>7.7551752977737531E-2</v>
      </c>
    </row>
    <row r="120" spans="2:10" x14ac:dyDescent="0.3">
      <c r="B120" s="52">
        <v>44979</v>
      </c>
      <c r="C120" s="69">
        <v>0</v>
      </c>
      <c r="D120" s="70">
        <v>0</v>
      </c>
      <c r="E120" s="70">
        <v>11290236</v>
      </c>
      <c r="F120" s="70">
        <v>10760234</v>
      </c>
      <c r="G120" s="38">
        <f t="shared" si="16"/>
        <v>2.3979669576195572E-2</v>
      </c>
      <c r="H120" s="38">
        <f t="shared" si="16"/>
        <v>3.5369114052183903E-2</v>
      </c>
      <c r="I120" s="48">
        <f t="shared" si="15"/>
        <v>0.16244426549511115</v>
      </c>
      <c r="J120" s="218">
        <f t="shared" si="15"/>
        <v>0.11292086702992143</v>
      </c>
    </row>
    <row r="121" spans="2:10" x14ac:dyDescent="0.3">
      <c r="B121" s="52">
        <v>45007</v>
      </c>
      <c r="C121" s="69">
        <v>0</v>
      </c>
      <c r="D121" s="70">
        <v>0</v>
      </c>
      <c r="E121" s="70">
        <v>10991691</v>
      </c>
      <c r="F121" s="70">
        <v>10386820</v>
      </c>
      <c r="G121" s="38">
        <f t="shared" si="16"/>
        <v>-2.6442759921050385E-2</v>
      </c>
      <c r="H121" s="38">
        <f t="shared" si="16"/>
        <v>-3.4703148648997817E-2</v>
      </c>
      <c r="I121" s="48">
        <f t="shared" si="15"/>
        <v>0.13600150557406077</v>
      </c>
      <c r="J121" s="218">
        <f t="shared" si="15"/>
        <v>7.8217718380923618E-2</v>
      </c>
    </row>
    <row r="122" spans="2:10" x14ac:dyDescent="0.3">
      <c r="B122" s="52">
        <v>45038</v>
      </c>
      <c r="C122" s="69">
        <v>0</v>
      </c>
      <c r="D122" s="70">
        <v>0</v>
      </c>
      <c r="E122" s="70">
        <v>11115499</v>
      </c>
      <c r="F122" s="70">
        <v>10485626</v>
      </c>
      <c r="G122" s="38">
        <f t="shared" si="16"/>
        <v>1.1263780977831317E-2</v>
      </c>
      <c r="H122" s="38">
        <f t="shared" si="16"/>
        <v>9.5126323552348069E-3</v>
      </c>
      <c r="I122" s="48">
        <f t="shared" si="15"/>
        <v>0.14726528655189208</v>
      </c>
      <c r="J122" s="218">
        <f t="shared" si="15"/>
        <v>8.7730350736158424E-2</v>
      </c>
    </row>
    <row r="123" spans="2:10" x14ac:dyDescent="0.3">
      <c r="B123" s="52">
        <v>45068</v>
      </c>
      <c r="C123" s="69">
        <v>0</v>
      </c>
      <c r="D123" s="70">
        <v>0</v>
      </c>
      <c r="E123" s="70">
        <v>11367828</v>
      </c>
      <c r="F123" s="70">
        <v>10867257</v>
      </c>
      <c r="G123" s="38">
        <f t="shared" si="16"/>
        <v>2.2700645288169286E-2</v>
      </c>
      <c r="H123" s="38">
        <f t="shared" si="16"/>
        <v>3.6395633412826367E-2</v>
      </c>
      <c r="I123" s="48">
        <f t="shared" si="15"/>
        <v>0.16996593184006137</v>
      </c>
      <c r="J123" s="218">
        <f t="shared" si="15"/>
        <v>0.12412598414898479</v>
      </c>
    </row>
    <row r="124" spans="2:10" x14ac:dyDescent="0.3">
      <c r="B124" s="52">
        <v>45099</v>
      </c>
      <c r="C124" s="69">
        <v>0</v>
      </c>
      <c r="D124" s="70">
        <v>0</v>
      </c>
      <c r="E124" s="70">
        <v>11388250</v>
      </c>
      <c r="F124" s="70">
        <v>11016851</v>
      </c>
      <c r="G124" s="38">
        <f t="shared" si="16"/>
        <v>1.7964733456559134E-3</v>
      </c>
      <c r="H124" s="38">
        <f t="shared" si="16"/>
        <v>1.3765571201638016E-2</v>
      </c>
      <c r="I124" s="48">
        <f t="shared" si="15"/>
        <v>0.17176240518571728</v>
      </c>
      <c r="J124" s="218">
        <f t="shared" si="15"/>
        <v>0.13789155535062281</v>
      </c>
    </row>
    <row r="125" spans="2:10" x14ac:dyDescent="0.3">
      <c r="B125" s="52">
        <v>45129</v>
      </c>
      <c r="C125" s="69">
        <v>0</v>
      </c>
      <c r="D125" s="70">
        <v>0</v>
      </c>
      <c r="E125" s="70">
        <v>11365842</v>
      </c>
      <c r="F125" s="70">
        <v>10592343</v>
      </c>
      <c r="G125" s="38">
        <f t="shared" si="16"/>
        <v>-1.9676420872389855E-3</v>
      </c>
      <c r="H125" s="38">
        <f t="shared" si="16"/>
        <v>-3.8532607911280659E-2</v>
      </c>
      <c r="I125" s="48">
        <f t="shared" ref="I125:J140" si="17">I124+G125</f>
        <v>0.1697947630984783</v>
      </c>
      <c r="J125" s="218">
        <f t="shared" si="17"/>
        <v>9.9358947439342149E-2</v>
      </c>
    </row>
    <row r="126" spans="2:10" x14ac:dyDescent="0.3">
      <c r="B126" s="52">
        <v>45160</v>
      </c>
      <c r="C126" s="69">
        <v>0</v>
      </c>
      <c r="D126" s="70">
        <v>0</v>
      </c>
      <c r="E126" s="70">
        <v>11592484</v>
      </c>
      <c r="F126" s="70">
        <v>11102585</v>
      </c>
      <c r="G126" s="38">
        <f t="shared" si="16"/>
        <v>1.9940625604332629E-2</v>
      </c>
      <c r="H126" s="38">
        <f t="shared" si="16"/>
        <v>4.8170834347037284E-2</v>
      </c>
      <c r="I126" s="48">
        <f t="shared" si="17"/>
        <v>0.18973538870281093</v>
      </c>
      <c r="J126" s="218">
        <f t="shared" si="17"/>
        <v>0.14752978178637943</v>
      </c>
    </row>
    <row r="127" spans="2:10" x14ac:dyDescent="0.3">
      <c r="B127" s="52">
        <v>45191</v>
      </c>
      <c r="C127" s="69">
        <v>0</v>
      </c>
      <c r="D127" s="70">
        <v>0</v>
      </c>
      <c r="E127" s="70">
        <v>11621585</v>
      </c>
      <c r="F127" s="70">
        <v>11224899</v>
      </c>
      <c r="G127" s="38">
        <f t="shared" si="16"/>
        <v>2.5103334194811477E-3</v>
      </c>
      <c r="H127" s="38">
        <f t="shared" si="16"/>
        <v>1.1016713675238599E-2</v>
      </c>
      <c r="I127" s="48">
        <f t="shared" si="17"/>
        <v>0.19224572212229207</v>
      </c>
      <c r="J127" s="218">
        <f t="shared" si="17"/>
        <v>0.15854649546161803</v>
      </c>
    </row>
    <row r="128" spans="2:10" x14ac:dyDescent="0.3">
      <c r="B128" s="52">
        <v>45221</v>
      </c>
      <c r="C128" s="69">
        <v>0</v>
      </c>
      <c r="D128" s="70">
        <v>0</v>
      </c>
      <c r="E128" s="70">
        <v>11681298</v>
      </c>
      <c r="F128" s="70">
        <v>11267827</v>
      </c>
      <c r="G128" s="38">
        <f t="shared" si="16"/>
        <v>5.1381115398632105E-3</v>
      </c>
      <c r="H128" s="38">
        <f t="shared" si="16"/>
        <v>3.8243551233734241E-3</v>
      </c>
      <c r="I128" s="48">
        <f t="shared" si="17"/>
        <v>0.19738383366215528</v>
      </c>
      <c r="J128" s="218">
        <f t="shared" si="17"/>
        <v>0.16237085058499146</v>
      </c>
    </row>
    <row r="129" spans="2:10" x14ac:dyDescent="0.3">
      <c r="B129" s="52">
        <v>45252</v>
      </c>
      <c r="C129" s="69">
        <v>0</v>
      </c>
      <c r="D129" s="70">
        <v>0</v>
      </c>
      <c r="E129" s="70">
        <v>11923596</v>
      </c>
      <c r="F129" s="70">
        <v>11562545</v>
      </c>
      <c r="G129" s="38">
        <f t="shared" si="16"/>
        <v>2.0742386676549041E-2</v>
      </c>
      <c r="H129" s="38">
        <f t="shared" si="16"/>
        <v>2.6155708638409214E-2</v>
      </c>
      <c r="I129" s="48">
        <f t="shared" si="17"/>
        <v>0.21812622033870432</v>
      </c>
      <c r="J129" s="218">
        <f t="shared" si="17"/>
        <v>0.18852655922340067</v>
      </c>
    </row>
    <row r="130" spans="2:10" x14ac:dyDescent="0.3">
      <c r="B130" s="52">
        <v>45282</v>
      </c>
      <c r="C130" s="69">
        <v>0</v>
      </c>
      <c r="D130" s="70">
        <v>0</v>
      </c>
      <c r="E130" s="70">
        <v>12256785</v>
      </c>
      <c r="F130" s="70">
        <v>11896214</v>
      </c>
      <c r="G130" s="38">
        <f t="shared" si="16"/>
        <v>2.7943667329889399E-2</v>
      </c>
      <c r="H130" s="38">
        <f t="shared" si="16"/>
        <v>2.8857747148227419E-2</v>
      </c>
      <c r="I130" s="48">
        <f t="shared" si="17"/>
        <v>0.24606988766859372</v>
      </c>
      <c r="J130" s="218">
        <f t="shared" si="17"/>
        <v>0.21738430637162809</v>
      </c>
    </row>
    <row r="131" spans="2:10" x14ac:dyDescent="0.3">
      <c r="B131" s="52">
        <v>45313</v>
      </c>
      <c r="C131" s="69">
        <v>0</v>
      </c>
      <c r="D131" s="70">
        <v>0</v>
      </c>
      <c r="E131" s="70">
        <v>12602573</v>
      </c>
      <c r="F131" s="70">
        <v>12135692</v>
      </c>
      <c r="G131" s="38">
        <f t="shared" si="16"/>
        <v>2.821196586217356E-2</v>
      </c>
      <c r="H131" s="38">
        <f t="shared" si="16"/>
        <v>2.0130606258428108E-2</v>
      </c>
      <c r="I131" s="48">
        <f t="shared" si="17"/>
        <v>0.27428185353076728</v>
      </c>
      <c r="J131" s="218">
        <f t="shared" si="17"/>
        <v>0.2375149126300562</v>
      </c>
    </row>
    <row r="132" spans="2:10" x14ac:dyDescent="0.3">
      <c r="B132" s="52">
        <v>45344</v>
      </c>
      <c r="C132" s="69">
        <v>0</v>
      </c>
      <c r="D132" s="70">
        <v>0</v>
      </c>
      <c r="E132" s="70">
        <v>12412681</v>
      </c>
      <c r="F132" s="70">
        <v>11872390</v>
      </c>
      <c r="G132" s="38">
        <f t="shared" si="16"/>
        <v>-1.506771672736984E-2</v>
      </c>
      <c r="H132" s="38">
        <f t="shared" si="16"/>
        <v>-2.1696496582147895E-2</v>
      </c>
      <c r="I132" s="48">
        <f t="shared" si="17"/>
        <v>0.25921413680339744</v>
      </c>
      <c r="J132" s="218">
        <f t="shared" si="17"/>
        <v>0.2158184160479083</v>
      </c>
    </row>
    <row r="133" spans="2:10" x14ac:dyDescent="0.3">
      <c r="B133" s="52">
        <v>45373</v>
      </c>
      <c r="C133" s="69">
        <v>0</v>
      </c>
      <c r="D133" s="70">
        <v>0</v>
      </c>
      <c r="E133" s="70">
        <v>12782581</v>
      </c>
      <c r="F133" s="70">
        <v>12235642</v>
      </c>
      <c r="G133" s="38">
        <f t="shared" si="16"/>
        <v>2.9800169681312161E-2</v>
      </c>
      <c r="H133" s="38">
        <f t="shared" si="16"/>
        <v>3.0596366864632962E-2</v>
      </c>
      <c r="I133" s="48">
        <f t="shared" si="17"/>
        <v>0.2890143064847096</v>
      </c>
      <c r="J133" s="218">
        <f t="shared" si="17"/>
        <v>0.24641478291254126</v>
      </c>
    </row>
    <row r="134" spans="2:10" x14ac:dyDescent="0.3">
      <c r="B134" s="52">
        <v>45404</v>
      </c>
      <c r="C134" s="69">
        <v>0</v>
      </c>
      <c r="D134" s="70">
        <v>0</v>
      </c>
      <c r="E134" s="70">
        <v>12806493</v>
      </c>
      <c r="F134" s="70">
        <v>12562894</v>
      </c>
      <c r="G134" s="38">
        <f t="shared" si="16"/>
        <v>1.8706707197866379E-3</v>
      </c>
      <c r="H134" s="38">
        <f t="shared" si="16"/>
        <v>2.674579723728443E-2</v>
      </c>
      <c r="I134" s="48">
        <f t="shared" si="17"/>
        <v>0.29088497720449624</v>
      </c>
      <c r="J134" s="218">
        <f t="shared" si="17"/>
        <v>0.27316058014982569</v>
      </c>
    </row>
    <row r="135" spans="2:10" x14ac:dyDescent="0.3">
      <c r="B135" s="52">
        <v>45434</v>
      </c>
      <c r="C135" s="69">
        <v>0</v>
      </c>
      <c r="D135" s="70">
        <v>0</v>
      </c>
      <c r="E135" s="70">
        <v>12912475</v>
      </c>
      <c r="F135" s="70">
        <v>12350256</v>
      </c>
      <c r="G135" s="38">
        <f t="shared" si="16"/>
        <v>8.275645799361353E-3</v>
      </c>
      <c r="H135" s="38">
        <f t="shared" si="16"/>
        <v>-1.6925877110799514E-2</v>
      </c>
      <c r="I135" s="48">
        <f t="shared" si="17"/>
        <v>0.2991606230038576</v>
      </c>
      <c r="J135" s="218">
        <f t="shared" si="17"/>
        <v>0.25623470303902618</v>
      </c>
    </row>
    <row r="136" spans="2:10" x14ac:dyDescent="0.3">
      <c r="B136" s="52">
        <v>45465</v>
      </c>
      <c r="C136" s="69">
        <v>0</v>
      </c>
      <c r="D136" s="70">
        <v>0</v>
      </c>
      <c r="E136" s="70">
        <v>13010027</v>
      </c>
      <c r="F136" s="70">
        <v>12450238</v>
      </c>
      <c r="G136" s="38">
        <f t="shared" si="16"/>
        <v>7.5548645786343016E-3</v>
      </c>
      <c r="H136" s="38">
        <f t="shared" si="16"/>
        <v>8.0955406916261019E-3</v>
      </c>
      <c r="I136" s="48">
        <f t="shared" si="17"/>
        <v>0.3067154875824919</v>
      </c>
      <c r="J136" s="218">
        <f t="shared" si="17"/>
        <v>0.26433024373065228</v>
      </c>
    </row>
    <row r="137" spans="2:10" x14ac:dyDescent="0.3">
      <c r="B137" s="52">
        <v>45495</v>
      </c>
      <c r="C137" s="69">
        <v>0</v>
      </c>
      <c r="D137" s="70">
        <v>0</v>
      </c>
      <c r="E137" s="70">
        <v>13102019</v>
      </c>
      <c r="F137" s="70">
        <v>12516781</v>
      </c>
      <c r="G137" s="38">
        <f>(E137/(E136+C137))-1</f>
        <v>7.0708538883124117E-3</v>
      </c>
      <c r="H137" s="38">
        <f t="shared" ref="H137:H157" si="18">(F137/(F136+D137))-1</f>
        <v>5.3447171050062803E-3</v>
      </c>
      <c r="I137" s="48">
        <f>I136+G137</f>
        <v>0.31378634147080431</v>
      </c>
      <c r="J137" s="218">
        <f t="shared" si="17"/>
        <v>0.26967496083565856</v>
      </c>
    </row>
    <row r="138" spans="2:10" x14ac:dyDescent="0.3">
      <c r="B138" s="52">
        <v>45526</v>
      </c>
      <c r="C138" s="69">
        <v>0</v>
      </c>
      <c r="D138" s="70">
        <v>0</v>
      </c>
      <c r="E138" s="69">
        <v>13056182</v>
      </c>
      <c r="F138" s="70">
        <v>12002593</v>
      </c>
      <c r="G138" s="38">
        <f t="shared" ref="G138:H150" si="19">(E138/(E137+C138))-1</f>
        <v>-3.4984684421538459E-3</v>
      </c>
      <c r="H138" s="38">
        <f t="shared" si="19"/>
        <v>-4.1079891067839269E-2</v>
      </c>
      <c r="I138" s="48">
        <f>I137+G138</f>
        <v>0.31028787302865046</v>
      </c>
      <c r="J138" s="218">
        <f t="shared" si="17"/>
        <v>0.22859506976781929</v>
      </c>
    </row>
    <row r="139" spans="2:10" x14ac:dyDescent="0.3">
      <c r="B139" s="52">
        <v>45557</v>
      </c>
      <c r="C139" s="69">
        <v>0</v>
      </c>
      <c r="D139" s="70">
        <v>0</v>
      </c>
      <c r="E139" s="70">
        <v>13361254</v>
      </c>
      <c r="F139" s="70">
        <v>12755685</v>
      </c>
      <c r="G139" s="38">
        <f t="shared" si="19"/>
        <v>2.3366095846396817E-2</v>
      </c>
      <c r="H139" s="38">
        <f t="shared" si="19"/>
        <v>6.2744108710509394E-2</v>
      </c>
      <c r="I139" s="48">
        <f>I138+G139</f>
        <v>0.33365396887504728</v>
      </c>
      <c r="J139" s="218">
        <f t="shared" si="17"/>
        <v>0.29133917847832869</v>
      </c>
    </row>
    <row r="140" spans="2:10" x14ac:dyDescent="0.3">
      <c r="B140" s="52">
        <v>45587</v>
      </c>
      <c r="C140" s="69">
        <v>0</v>
      </c>
      <c r="D140" s="70">
        <v>0</v>
      </c>
      <c r="E140" s="70">
        <v>13421296</v>
      </c>
      <c r="F140" s="70">
        <v>12822367</v>
      </c>
      <c r="G140" s="38">
        <f t="shared" si="19"/>
        <v>4.4937398839959286E-3</v>
      </c>
      <c r="H140" s="38">
        <f t="shared" si="19"/>
        <v>5.2276298764042384E-3</v>
      </c>
      <c r="I140" s="48">
        <f t="shared" ref="I140:I143" si="20">I139+G140</f>
        <v>0.33814770875904321</v>
      </c>
      <c r="J140" s="218">
        <f t="shared" si="17"/>
        <v>0.29656680835473292</v>
      </c>
    </row>
    <row r="141" spans="2:10" x14ac:dyDescent="0.3">
      <c r="B141" s="52">
        <v>45618</v>
      </c>
      <c r="C141" s="69">
        <v>0</v>
      </c>
      <c r="D141" s="70">
        <v>0</v>
      </c>
      <c r="E141" s="70">
        <v>13672588</v>
      </c>
      <c r="F141" s="70">
        <v>13012599</v>
      </c>
      <c r="G141" s="38">
        <f t="shared" si="19"/>
        <v>1.872337812980196E-2</v>
      </c>
      <c r="H141" s="38">
        <f t="shared" si="18"/>
        <v>1.4835950335846837E-2</v>
      </c>
      <c r="I141" s="48">
        <f>I140+G141</f>
        <v>0.35687108688884517</v>
      </c>
      <c r="J141" s="218">
        <f t="shared" ref="J141:J148" si="21">J140+H141</f>
        <v>0.31140275869057976</v>
      </c>
    </row>
    <row r="142" spans="2:10" x14ac:dyDescent="0.3">
      <c r="B142" s="52">
        <v>45648</v>
      </c>
      <c r="C142" s="69">
        <v>0</v>
      </c>
      <c r="D142" s="70">
        <v>0</v>
      </c>
      <c r="E142" s="70">
        <v>13960291</v>
      </c>
      <c r="F142" s="70">
        <v>13321509</v>
      </c>
      <c r="G142" s="38">
        <f t="shared" si="19"/>
        <v>2.1042322053440143E-2</v>
      </c>
      <c r="H142" s="38">
        <f t="shared" si="18"/>
        <v>2.373930065777019E-2</v>
      </c>
      <c r="I142" s="48">
        <f t="shared" si="20"/>
        <v>0.37791340894228531</v>
      </c>
      <c r="J142" s="218">
        <f t="shared" si="21"/>
        <v>0.33514205934834995</v>
      </c>
    </row>
    <row r="143" spans="2:10" x14ac:dyDescent="0.3">
      <c r="B143" s="52">
        <v>45679</v>
      </c>
      <c r="C143" s="69">
        <v>0</v>
      </c>
      <c r="D143" s="70">
        <v>0</v>
      </c>
      <c r="E143" s="70">
        <v>14367891</v>
      </c>
      <c r="F143" s="70">
        <v>13725892</v>
      </c>
      <c r="G143" s="38">
        <f t="shared" si="19"/>
        <v>2.9197099114911085E-2</v>
      </c>
      <c r="H143" s="38">
        <f t="shared" si="18"/>
        <v>3.0355645145005772E-2</v>
      </c>
      <c r="I143" s="48">
        <f t="shared" si="20"/>
        <v>0.4071105080571964</v>
      </c>
      <c r="J143" s="218">
        <f t="shared" si="21"/>
        <v>0.36549770449335572</v>
      </c>
    </row>
    <row r="144" spans="2:10" x14ac:dyDescent="0.3">
      <c r="B144" s="52">
        <v>45710</v>
      </c>
      <c r="C144" s="69">
        <v>0</v>
      </c>
      <c r="D144" s="70">
        <v>0</v>
      </c>
      <c r="E144" s="70">
        <v>13982913</v>
      </c>
      <c r="F144" s="70">
        <v>13282564</v>
      </c>
      <c r="G144" s="38">
        <f t="shared" si="19"/>
        <v>-2.6794329105085724E-2</v>
      </c>
      <c r="H144" s="38">
        <f t="shared" si="18"/>
        <v>-3.229866590819741E-2</v>
      </c>
      <c r="I144" s="48">
        <f>I143+G144</f>
        <v>0.38031617895211067</v>
      </c>
      <c r="J144" s="218">
        <f t="shared" si="21"/>
        <v>0.33319903858515831</v>
      </c>
    </row>
    <row r="145" spans="2:10" x14ac:dyDescent="0.3">
      <c r="B145" s="52">
        <v>45738</v>
      </c>
      <c r="C145" s="69">
        <v>0</v>
      </c>
      <c r="D145" s="70">
        <v>0</v>
      </c>
      <c r="E145" s="70">
        <v>14490255</v>
      </c>
      <c r="F145" s="70">
        <v>13802546</v>
      </c>
      <c r="G145" s="38">
        <f t="shared" si="19"/>
        <v>3.6282997684388141E-2</v>
      </c>
      <c r="H145" s="38">
        <f t="shared" si="18"/>
        <v>3.9147712745822183E-2</v>
      </c>
      <c r="I145" s="48">
        <f>I144+G145</f>
        <v>0.41659917663649881</v>
      </c>
      <c r="J145" s="218">
        <f t="shared" si="21"/>
        <v>0.3723467513309805</v>
      </c>
    </row>
    <row r="146" spans="2:10" x14ac:dyDescent="0.3">
      <c r="B146" s="52">
        <v>45769</v>
      </c>
      <c r="C146" s="69">
        <v>0</v>
      </c>
      <c r="D146" s="70">
        <v>0</v>
      </c>
      <c r="E146" s="70">
        <v>14212687</v>
      </c>
      <c r="F146" s="70">
        <v>13712688</v>
      </c>
      <c r="G146" s="38">
        <f t="shared" si="19"/>
        <v>-1.915549450302978E-2</v>
      </c>
      <c r="H146" s="38">
        <f t="shared" si="18"/>
        <v>-6.5102481817485014E-3</v>
      </c>
      <c r="I146" s="48">
        <f t="shared" ref="I146:J157" si="22">I145+G146</f>
        <v>0.39744368213346903</v>
      </c>
      <c r="J146" s="218">
        <f t="shared" si="21"/>
        <v>0.365836503149232</v>
      </c>
    </row>
    <row r="147" spans="2:10" x14ac:dyDescent="0.3">
      <c r="B147" s="52">
        <v>45799</v>
      </c>
      <c r="C147" s="69">
        <v>0</v>
      </c>
      <c r="D147" s="70">
        <v>0</v>
      </c>
      <c r="E147" s="70">
        <v>14581659</v>
      </c>
      <c r="F147" s="70">
        <v>14022681</v>
      </c>
      <c r="G147" s="38">
        <f>(E147/(E146+C147))-1</f>
        <v>2.5960749012484463E-2</v>
      </c>
      <c r="H147" s="38">
        <f t="shared" si="18"/>
        <v>2.2606289882771247E-2</v>
      </c>
      <c r="I147" s="48">
        <f t="shared" si="22"/>
        <v>0.4234044311459535</v>
      </c>
      <c r="J147" s="218">
        <f t="shared" si="21"/>
        <v>0.38844279303200324</v>
      </c>
    </row>
    <row r="148" spans="2:10" x14ac:dyDescent="0.3">
      <c r="B148" s="52">
        <v>45830</v>
      </c>
      <c r="C148" s="69">
        <v>0</v>
      </c>
      <c r="D148" s="70">
        <v>0</v>
      </c>
      <c r="E148" s="70">
        <v>14782640</v>
      </c>
      <c r="F148" s="70">
        <v>14225691</v>
      </c>
      <c r="G148" s="38">
        <f t="shared" si="19"/>
        <v>1.3783136747334446E-2</v>
      </c>
      <c r="H148" s="38">
        <f t="shared" si="18"/>
        <v>1.4477260090278055E-2</v>
      </c>
      <c r="I148" s="48">
        <f t="shared" si="22"/>
        <v>0.43718756789328794</v>
      </c>
      <c r="J148" s="218">
        <f t="shared" si="21"/>
        <v>0.4029200531222813</v>
      </c>
    </row>
    <row r="149" spans="2:10" x14ac:dyDescent="0.3">
      <c r="B149" s="52">
        <v>45860</v>
      </c>
      <c r="C149" s="69">
        <v>0</v>
      </c>
      <c r="D149" s="70">
        <v>0</v>
      </c>
      <c r="E149" s="70">
        <v>14751682</v>
      </c>
      <c r="F149" s="70">
        <v>13950223</v>
      </c>
      <c r="G149" s="38">
        <f t="shared" si="19"/>
        <v>-2.0942132122543367E-3</v>
      </c>
      <c r="H149" s="38">
        <f t="shared" si="18"/>
        <v>-1.9364120871176005E-2</v>
      </c>
      <c r="I149" s="48">
        <f t="shared" si="22"/>
        <v>0.43509335468103361</v>
      </c>
      <c r="J149" s="218">
        <f>J148+H149</f>
        <v>0.38355593225110529</v>
      </c>
    </row>
    <row r="150" spans="2:10" x14ac:dyDescent="0.3">
      <c r="B150" s="52">
        <v>45891</v>
      </c>
      <c r="C150" s="69">
        <v>0</v>
      </c>
      <c r="D150" s="70">
        <v>0</v>
      </c>
      <c r="E150" s="70">
        <v>15026044</v>
      </c>
      <c r="F150" s="70">
        <v>14512855</v>
      </c>
      <c r="G150" s="38">
        <f t="shared" si="19"/>
        <v>1.8598692677892492E-2</v>
      </c>
      <c r="H150" s="38">
        <f t="shared" si="18"/>
        <v>4.0331398286608033E-2</v>
      </c>
      <c r="I150" s="48">
        <f t="shared" si="22"/>
        <v>0.4536920473589261</v>
      </c>
      <c r="J150" s="218">
        <f>J149+H150</f>
        <v>0.42388733053771332</v>
      </c>
    </row>
    <row r="151" spans="2:10" x14ac:dyDescent="0.3">
      <c r="B151" s="52">
        <v>45922</v>
      </c>
      <c r="C151" s="69">
        <v>0</v>
      </c>
      <c r="D151" s="70">
        <v>0</v>
      </c>
      <c r="E151" s="70">
        <v>15102566</v>
      </c>
      <c r="F151" s="70">
        <v>14482597</v>
      </c>
      <c r="G151" s="38">
        <f>(E151/(E150+C151))-1</f>
        <v>5.0926245124798264E-3</v>
      </c>
      <c r="H151" s="38">
        <f t="shared" si="18"/>
        <v>-2.0849102399217445E-3</v>
      </c>
      <c r="I151" s="48">
        <f t="shared" si="22"/>
        <v>0.45878467187140592</v>
      </c>
      <c r="J151" s="218">
        <f>J150+H151</f>
        <v>0.42180242029779158</v>
      </c>
    </row>
    <row r="152" spans="2:10" x14ac:dyDescent="0.3">
      <c r="B152" s="52">
        <v>45952</v>
      </c>
      <c r="C152" s="69">
        <v>0</v>
      </c>
      <c r="D152" s="70">
        <v>0</v>
      </c>
      <c r="E152" s="70">
        <v>15267898</v>
      </c>
      <c r="F152" s="70">
        <v>14725909</v>
      </c>
      <c r="G152" s="38">
        <f t="shared" ref="G152:G157" si="23">(E152/(E151+C152))-1</f>
        <v>1.0947278760443657E-2</v>
      </c>
      <c r="H152" s="38">
        <f t="shared" si="18"/>
        <v>1.6800301769081871E-2</v>
      </c>
      <c r="I152" s="48">
        <f t="shared" si="22"/>
        <v>0.46973195063184958</v>
      </c>
      <c r="J152" s="218">
        <f t="shared" si="22"/>
        <v>0.43860272206687345</v>
      </c>
    </row>
    <row r="153" spans="2:10" x14ac:dyDescent="0.3">
      <c r="B153" s="52">
        <v>45983</v>
      </c>
      <c r="C153" s="69">
        <v>0</v>
      </c>
      <c r="D153" s="70">
        <v>0</v>
      </c>
      <c r="E153" s="70">
        <v>15891021</v>
      </c>
      <c r="F153" s="70">
        <v>15012680</v>
      </c>
      <c r="G153" s="38">
        <f t="shared" si="23"/>
        <v>4.0812625287383941E-2</v>
      </c>
      <c r="H153" s="38">
        <f t="shared" si="18"/>
        <v>1.9473908198128997E-2</v>
      </c>
      <c r="I153" s="48">
        <f t="shared" si="22"/>
        <v>0.51054457591923352</v>
      </c>
      <c r="J153" s="218">
        <f t="shared" si="22"/>
        <v>0.45807663026500245</v>
      </c>
    </row>
    <row r="154" spans="2:10" x14ac:dyDescent="0.3">
      <c r="B154" s="52">
        <v>46013</v>
      </c>
      <c r="C154" s="69">
        <v>0</v>
      </c>
      <c r="D154" s="70">
        <v>0</v>
      </c>
      <c r="E154" s="70">
        <v>16112185</v>
      </c>
      <c r="F154" s="70">
        <v>15423913</v>
      </c>
      <c r="G154" s="38">
        <f t="shared" si="23"/>
        <v>1.3917545008593324E-2</v>
      </c>
      <c r="H154" s="38">
        <f t="shared" si="18"/>
        <v>2.7392377643432164E-2</v>
      </c>
      <c r="I154" s="48">
        <f t="shared" si="22"/>
        <v>0.52446212092782685</v>
      </c>
      <c r="J154" s="218">
        <f t="shared" si="22"/>
        <v>0.48546900790843461</v>
      </c>
    </row>
    <row r="155" spans="2:10" x14ac:dyDescent="0.3">
      <c r="B155" s="52">
        <v>46044</v>
      </c>
      <c r="C155" s="69">
        <v>0</v>
      </c>
      <c r="D155" s="70">
        <v>0</v>
      </c>
      <c r="E155" s="70">
        <v>16405014</v>
      </c>
      <c r="F155" s="70">
        <v>15810305</v>
      </c>
      <c r="G155" s="38">
        <f t="shared" si="23"/>
        <v>1.8174381686903329E-2</v>
      </c>
      <c r="H155" s="38">
        <f t="shared" si="18"/>
        <v>2.5051489852153663E-2</v>
      </c>
      <c r="I155" s="48">
        <f t="shared" si="22"/>
        <v>0.54263650261473018</v>
      </c>
      <c r="J155" s="218">
        <f t="shared" si="22"/>
        <v>0.51052049776058828</v>
      </c>
    </row>
    <row r="156" spans="2:10" x14ac:dyDescent="0.3">
      <c r="B156" s="52">
        <v>46075</v>
      </c>
      <c r="C156" s="69">
        <v>0</v>
      </c>
      <c r="D156" s="70">
        <v>0</v>
      </c>
      <c r="E156" s="70">
        <v>16320506</v>
      </c>
      <c r="F156" s="70">
        <v>15776209</v>
      </c>
      <c r="G156" s="38">
        <f t="shared" si="23"/>
        <v>-5.1513518976575856E-3</v>
      </c>
      <c r="H156" s="38">
        <f t="shared" si="18"/>
        <v>-2.1565681370473433E-3</v>
      </c>
      <c r="I156" s="48">
        <f t="shared" si="22"/>
        <v>0.53748515071707259</v>
      </c>
      <c r="J156" s="218">
        <f t="shared" si="22"/>
        <v>0.50836392962354093</v>
      </c>
    </row>
    <row r="157" spans="2:10" x14ac:dyDescent="0.3">
      <c r="B157" s="52">
        <v>46103</v>
      </c>
      <c r="C157" s="69">
        <v>0</v>
      </c>
      <c r="D157" s="70">
        <v>0</v>
      </c>
      <c r="E157" s="70">
        <v>16242846</v>
      </c>
      <c r="F157" s="70">
        <v>15642999</v>
      </c>
      <c r="G157" s="38">
        <f t="shared" si="23"/>
        <v>-4.7584308966891475E-3</v>
      </c>
      <c r="H157" s="38">
        <f t="shared" si="18"/>
        <v>-8.4437268801396126E-3</v>
      </c>
      <c r="I157" s="48">
        <f t="shared" si="22"/>
        <v>0.53272671982038344</v>
      </c>
      <c r="J157" s="218">
        <f t="shared" si="22"/>
        <v>0.49992020274340132</v>
      </c>
    </row>
    <row r="158" spans="2:10" x14ac:dyDescent="0.3">
      <c r="B158" s="319" t="s">
        <v>5</v>
      </c>
      <c r="C158" s="321">
        <f>SUM(C107:C157)</f>
        <v>10000000</v>
      </c>
      <c r="D158" s="321">
        <f>SUM(D107:D157)</f>
        <v>10000000</v>
      </c>
      <c r="E158" s="321">
        <f>E150</f>
        <v>15026044</v>
      </c>
      <c r="F158" s="321">
        <f>F150</f>
        <v>14512855</v>
      </c>
      <c r="G158" s="315">
        <f>SUM(G107:G157)</f>
        <v>0.53272671982038344</v>
      </c>
      <c r="H158" s="315">
        <f>SUM(H107:H157)</f>
        <v>0.49992020274340132</v>
      </c>
      <c r="I158" s="317">
        <f>I157</f>
        <v>0.53272671982038344</v>
      </c>
      <c r="J158" s="317">
        <f>J157</f>
        <v>0.49992020274340132</v>
      </c>
    </row>
    <row r="159" spans="2:10" ht="15" thickBot="1" x14ac:dyDescent="0.35">
      <c r="B159" s="320"/>
      <c r="C159" s="322"/>
      <c r="D159" s="322"/>
      <c r="E159" s="322"/>
      <c r="F159" s="322"/>
      <c r="G159" s="316"/>
      <c r="H159" s="316"/>
      <c r="I159" s="318"/>
      <c r="J159" s="318"/>
    </row>
  </sheetData>
  <mergeCells count="130"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2:N3"/>
    <mergeCell ref="B30:N31"/>
    <mergeCell ref="B58:N59"/>
    <mergeCell ref="B102:N103"/>
    <mergeCell ref="D5:D6"/>
    <mergeCell ref="E5:E6"/>
    <mergeCell ref="D17:D18"/>
    <mergeCell ref="E17:E18"/>
    <mergeCell ref="F17:F18"/>
    <mergeCell ref="K67:K68"/>
    <mergeCell ref="K69:K70"/>
    <mergeCell ref="K33:K34"/>
    <mergeCell ref="L33:L34"/>
    <mergeCell ref="B7:C7"/>
    <mergeCell ref="B8:C8"/>
    <mergeCell ref="B9:C9"/>
    <mergeCell ref="B10:C10"/>
    <mergeCell ref="B11:C11"/>
    <mergeCell ref="B12:C12"/>
    <mergeCell ref="B78:C78"/>
    <mergeCell ref="B96:C96"/>
    <mergeCell ref="B97:C97"/>
    <mergeCell ref="B98:C98"/>
    <mergeCell ref="B99:C99"/>
    <mergeCell ref="L61:L62"/>
    <mergeCell ref="L63:L64"/>
    <mergeCell ref="B67:C67"/>
    <mergeCell ref="B68:C68"/>
    <mergeCell ref="B69:C69"/>
    <mergeCell ref="B70:C70"/>
    <mergeCell ref="G84:G85"/>
    <mergeCell ref="H84:H85"/>
    <mergeCell ref="B86:C86"/>
    <mergeCell ref="L67:L68"/>
    <mergeCell ref="L69:L70"/>
    <mergeCell ref="K84:K85"/>
    <mergeCell ref="L84:L85"/>
    <mergeCell ref="I61:I62"/>
    <mergeCell ref="K61:K62"/>
    <mergeCell ref="I84:I85"/>
    <mergeCell ref="B81:N82"/>
    <mergeCell ref="B84:C85"/>
    <mergeCell ref="D84:D85"/>
    <mergeCell ref="E84:E85"/>
    <mergeCell ref="F84:F85"/>
    <mergeCell ref="B39:C39"/>
    <mergeCell ref="B63:C63"/>
    <mergeCell ref="B64:C64"/>
    <mergeCell ref="B65:C65"/>
    <mergeCell ref="K35:K36"/>
    <mergeCell ref="B33:C34"/>
    <mergeCell ref="K63:K64"/>
    <mergeCell ref="B13:C13"/>
    <mergeCell ref="B14:C14"/>
    <mergeCell ref="B15:C15"/>
    <mergeCell ref="L35:L36"/>
    <mergeCell ref="D33:D34"/>
    <mergeCell ref="E33:E34"/>
    <mergeCell ref="F33:F34"/>
    <mergeCell ref="G33:G34"/>
    <mergeCell ref="D44:D45"/>
    <mergeCell ref="E44:E45"/>
    <mergeCell ref="F44:F45"/>
    <mergeCell ref="G44:G45"/>
    <mergeCell ref="B5:C6"/>
    <mergeCell ref="F5:F6"/>
    <mergeCell ref="B71:C71"/>
    <mergeCell ref="B66:C66"/>
    <mergeCell ref="B61:C62"/>
    <mergeCell ref="E61:E62"/>
    <mergeCell ref="D61:D62"/>
    <mergeCell ref="F61:F62"/>
    <mergeCell ref="B17:C18"/>
    <mergeCell ref="B20:C20"/>
    <mergeCell ref="B21:C21"/>
    <mergeCell ref="B22:C22"/>
    <mergeCell ref="B23:C23"/>
    <mergeCell ref="B24:C24"/>
    <mergeCell ref="B19:C19"/>
    <mergeCell ref="B38:C38"/>
    <mergeCell ref="B40:C40"/>
    <mergeCell ref="B54:C54"/>
    <mergeCell ref="B55:C55"/>
    <mergeCell ref="B44:C45"/>
    <mergeCell ref="B49:C49"/>
    <mergeCell ref="B50:C50"/>
    <mergeCell ref="B51:C51"/>
    <mergeCell ref="B52:C52"/>
    <mergeCell ref="B105:B106"/>
    <mergeCell ref="C105:D105"/>
    <mergeCell ref="E105:F105"/>
    <mergeCell ref="G105:H105"/>
    <mergeCell ref="I105:J105"/>
    <mergeCell ref="B25:C25"/>
    <mergeCell ref="B26:C26"/>
    <mergeCell ref="B27:C27"/>
    <mergeCell ref="B46:C46"/>
    <mergeCell ref="B47:C47"/>
    <mergeCell ref="B48:C48"/>
    <mergeCell ref="B35:C35"/>
    <mergeCell ref="B36:C36"/>
    <mergeCell ref="B37:C37"/>
    <mergeCell ref="B41:C41"/>
    <mergeCell ref="B74:C74"/>
    <mergeCell ref="B75:C75"/>
    <mergeCell ref="B76:C76"/>
    <mergeCell ref="B77:C77"/>
    <mergeCell ref="H61:H62"/>
    <mergeCell ref="B73:C73"/>
    <mergeCell ref="G61:G62"/>
    <mergeCell ref="B53:C53"/>
    <mergeCell ref="B72:C72"/>
    <mergeCell ref="G158:G159"/>
    <mergeCell ref="H158:H159"/>
    <mergeCell ref="I158:I159"/>
    <mergeCell ref="J158:J159"/>
    <mergeCell ref="B158:B159"/>
    <mergeCell ref="C158:C159"/>
    <mergeCell ref="D158:D159"/>
    <mergeCell ref="E158:E159"/>
    <mergeCell ref="F158:F159"/>
  </mergeCells>
  <conditionalFormatting sqref="I86:I99">
    <cfRule type="containsText" dxfId="8" priority="1" operator="containsText" text="Low">
      <formula>NOT(ISERROR(SEARCH("Low",I86)))</formula>
    </cfRule>
    <cfRule type="containsText" dxfId="7" priority="2" operator="containsText" text="Moderate">
      <formula>NOT(ISERROR(SEARCH("Moderate",I86)))</formula>
    </cfRule>
    <cfRule type="containsText" dxfId="6" priority="3" operator="containsText" text="Moderate-High">
      <formula>NOT(ISERROR(SEARCH("Moderate-High",I86)))</formula>
    </cfRule>
    <cfRule type="containsText" dxfId="5" priority="4" operator="containsText" text="High">
      <formula>NOT(ISERROR(SEARCH("High",I86)))</formula>
    </cfRule>
  </conditionalFormatting>
  <conditionalFormatting sqref="L33:L34">
    <cfRule type="cellIs" dxfId="4" priority="12" operator="lessThan">
      <formula>$L$35</formula>
    </cfRule>
    <cfRule type="cellIs" dxfId="3" priority="13" operator="greaterThan">
      <formula>$L$35</formula>
    </cfRule>
  </conditionalFormatting>
  <conditionalFormatting sqref="L61:L62">
    <cfRule type="cellIs" dxfId="2" priority="5" operator="lessThan">
      <formula>0.1</formula>
    </cfRule>
    <cfRule type="cellIs" dxfId="1" priority="6" operator="between">
      <formula>0.1</formula>
      <formula>0.11</formula>
    </cfRule>
    <cfRule type="cellIs" dxfId="0" priority="7" operator="between">
      <formula>0.11</formula>
      <formula>0.12</formula>
    </cfRule>
  </conditionalFormatting>
  <pageMargins left="0.7" right="0.7" top="0.75" bottom="0.75" header="0.3" footer="0.3"/>
  <pageSetup paperSize="9" scale="79" orientation="portrait" horizontalDpi="4294967293" r:id="rId1"/>
  <ignoredErrors>
    <ignoredError sqref="F4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5E0B3-E321-426F-B642-D210505728F9}">
  <sheetPr>
    <pageSetUpPr fitToPage="1"/>
  </sheetPr>
  <dimension ref="A1:X117"/>
  <sheetViews>
    <sheetView showGridLines="0" topLeftCell="A100" zoomScaleNormal="100" zoomScaleSheetLayoutView="40" zoomScalePageLayoutView="90" workbookViewId="0"/>
  </sheetViews>
  <sheetFormatPr defaultRowHeight="14.4" x14ac:dyDescent="0.3"/>
  <cols>
    <col min="1" max="1" width="2.88671875" style="3" customWidth="1"/>
    <col min="2" max="2" width="8.77734375" style="3" customWidth="1"/>
    <col min="3" max="14" width="8.77734375" style="11" customWidth="1"/>
    <col min="15" max="15" width="8.77734375" style="21" customWidth="1"/>
    <col min="16" max="23" width="8.77734375" style="3" customWidth="1"/>
    <col min="24" max="24" width="8" style="3" customWidth="1"/>
    <col min="25" max="25" width="10.77734375" customWidth="1"/>
  </cols>
  <sheetData>
    <row r="1" spans="2:24" x14ac:dyDescent="0.3">
      <c r="P1" s="17"/>
    </row>
    <row r="2" spans="2:24" ht="14.4" customHeight="1" x14ac:dyDescent="0.3">
      <c r="B2" s="296" t="s">
        <v>126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</row>
    <row r="3" spans="2:24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</row>
    <row r="4" spans="2:24" x14ac:dyDescent="0.3">
      <c r="P4" s="17"/>
    </row>
    <row r="5" spans="2:24" x14ac:dyDescent="0.3">
      <c r="P5" s="17"/>
    </row>
    <row r="6" spans="2:24" x14ac:dyDescent="0.3">
      <c r="P6" s="17"/>
    </row>
    <row r="7" spans="2:24" x14ac:dyDescent="0.3">
      <c r="P7" s="17"/>
    </row>
    <row r="8" spans="2:24" x14ac:dyDescent="0.3">
      <c r="P8" s="17"/>
    </row>
    <row r="9" spans="2:24" x14ac:dyDescent="0.3">
      <c r="P9" s="17"/>
    </row>
    <row r="10" spans="2:24" x14ac:dyDescent="0.3">
      <c r="P10" s="17"/>
    </row>
    <row r="11" spans="2:24" x14ac:dyDescent="0.3">
      <c r="P11" s="17"/>
    </row>
    <row r="12" spans="2:24" x14ac:dyDescent="0.3">
      <c r="P12" s="17"/>
    </row>
    <row r="13" spans="2:24" x14ac:dyDescent="0.3">
      <c r="P13" s="17"/>
    </row>
    <row r="14" spans="2:24" x14ac:dyDescent="0.3">
      <c r="P14" s="17"/>
    </row>
    <row r="15" spans="2:24" x14ac:dyDescent="0.3">
      <c r="P15" s="17"/>
    </row>
    <row r="16" spans="2:24" x14ac:dyDescent="0.3">
      <c r="P16" s="17"/>
    </row>
    <row r="17" spans="16:16" x14ac:dyDescent="0.3">
      <c r="P17" s="17"/>
    </row>
    <row r="18" spans="16:16" x14ac:dyDescent="0.3">
      <c r="P18" s="17"/>
    </row>
    <row r="19" spans="16:16" x14ac:dyDescent="0.3">
      <c r="P19" s="17"/>
    </row>
    <row r="20" spans="16:16" x14ac:dyDescent="0.3">
      <c r="P20" s="17"/>
    </row>
    <row r="21" spans="16:16" x14ac:dyDescent="0.3">
      <c r="P21" s="17"/>
    </row>
    <row r="22" spans="16:16" x14ac:dyDescent="0.3">
      <c r="P22" s="17"/>
    </row>
    <row r="23" spans="16:16" x14ac:dyDescent="0.3">
      <c r="P23" s="17"/>
    </row>
    <row r="24" spans="16:16" x14ac:dyDescent="0.3">
      <c r="P24" s="17"/>
    </row>
    <row r="25" spans="16:16" x14ac:dyDescent="0.3">
      <c r="P25" s="17"/>
    </row>
    <row r="26" spans="16:16" x14ac:dyDescent="0.3">
      <c r="P26" s="17"/>
    </row>
    <row r="27" spans="16:16" x14ac:dyDescent="0.3">
      <c r="P27" s="17"/>
    </row>
    <row r="28" spans="16:16" x14ac:dyDescent="0.3">
      <c r="P28" s="17"/>
    </row>
    <row r="49" spans="2:24" ht="14.4" customHeight="1" x14ac:dyDescent="0.3">
      <c r="B49" s="296" t="s">
        <v>127</v>
      </c>
      <c r="C49" s="296"/>
      <c r="D49" s="296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</row>
    <row r="50" spans="2:24" ht="15" customHeight="1" x14ac:dyDescent="0.3">
      <c r="B50" s="296"/>
      <c r="C50" s="296"/>
      <c r="D50" s="296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</row>
    <row r="71" spans="2:24" x14ac:dyDescent="0.3">
      <c r="L71" s="11" t="s">
        <v>128</v>
      </c>
    </row>
    <row r="74" spans="2:24" x14ac:dyDescent="0.3">
      <c r="B74" s="296" t="s">
        <v>243</v>
      </c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296"/>
      <c r="S74" s="296"/>
      <c r="T74" s="296"/>
      <c r="U74" s="296"/>
      <c r="V74" s="296"/>
      <c r="W74" s="296"/>
      <c r="X74" s="296"/>
    </row>
    <row r="75" spans="2:24" x14ac:dyDescent="0.3"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6"/>
      <c r="X75" s="296"/>
    </row>
    <row r="99" spans="2:24" ht="14.4" customHeight="1" x14ac:dyDescent="0.3">
      <c r="B99" s="296" t="s">
        <v>125</v>
      </c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</row>
    <row r="100" spans="2:24" ht="15" customHeight="1" x14ac:dyDescent="0.3">
      <c r="B100" s="296"/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</row>
    <row r="102" spans="2:24" x14ac:dyDescent="0.3">
      <c r="F102" s="370" t="s">
        <v>112</v>
      </c>
      <c r="G102" s="370"/>
      <c r="H102" s="37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22"/>
      <c r="T102" s="10"/>
      <c r="U102" s="10"/>
      <c r="V102" s="10"/>
      <c r="W102" s="10"/>
      <c r="X102" s="10"/>
    </row>
    <row r="103" spans="2:24" x14ac:dyDescent="0.3">
      <c r="F103" s="61"/>
      <c r="G103" s="61" t="s">
        <v>32</v>
      </c>
      <c r="H103" s="61" t="s">
        <v>33</v>
      </c>
      <c r="I103" s="61" t="s">
        <v>34</v>
      </c>
      <c r="J103" s="61" t="s">
        <v>35</v>
      </c>
      <c r="K103" s="61" t="s">
        <v>36</v>
      </c>
      <c r="L103" s="61" t="s">
        <v>37</v>
      </c>
      <c r="M103" s="61" t="s">
        <v>38</v>
      </c>
      <c r="N103" s="61" t="s">
        <v>39</v>
      </c>
      <c r="O103" s="61" t="s">
        <v>40</v>
      </c>
      <c r="P103" s="61" t="s">
        <v>41</v>
      </c>
      <c r="Q103" s="61" t="s">
        <v>42</v>
      </c>
      <c r="R103" s="61" t="s">
        <v>43</v>
      </c>
      <c r="S103" s="62" t="s">
        <v>44</v>
      </c>
      <c r="T103"/>
      <c r="U103"/>
      <c r="V103"/>
      <c r="X103" s="19"/>
    </row>
    <row r="104" spans="2:24" x14ac:dyDescent="0.3">
      <c r="F104" s="250">
        <v>2026</v>
      </c>
      <c r="G104" s="13">
        <v>1.8174449391702398E-2</v>
      </c>
      <c r="H104" s="13">
        <v>-5.1514750676775467E-3</v>
      </c>
      <c r="I104" s="13">
        <v>-4.7584326460586857E-3</v>
      </c>
      <c r="J104" s="13"/>
      <c r="K104" s="13"/>
      <c r="L104" s="13"/>
      <c r="M104" s="13"/>
      <c r="N104" s="13"/>
      <c r="O104" s="13"/>
      <c r="P104" s="13"/>
      <c r="Q104" s="13"/>
      <c r="R104" s="13"/>
      <c r="S104" s="21">
        <f t="shared" ref="S104:S107" si="0">SUM(G104:R104)</f>
        <v>8.2645416779661661E-3</v>
      </c>
      <c r="T104"/>
      <c r="U104"/>
      <c r="V104"/>
      <c r="W104" s="19"/>
      <c r="X104" s="19"/>
    </row>
    <row r="105" spans="2:24" x14ac:dyDescent="0.3">
      <c r="F105" s="250">
        <v>2025</v>
      </c>
      <c r="G105" s="12">
        <v>2.9197101206350329E-2</v>
      </c>
      <c r="H105" s="12">
        <v>-2.679447016924541E-2</v>
      </c>
      <c r="I105" s="12">
        <v>3.6282862437075014E-2</v>
      </c>
      <c r="J105" s="12">
        <v>-1.9155639136660851E-2</v>
      </c>
      <c r="K105" s="12">
        <v>2.5960621079205382E-2</v>
      </c>
      <c r="L105" s="12">
        <v>1.378376246858215E-2</v>
      </c>
      <c r="M105" s="12">
        <v>-2.094348506085475E-3</v>
      </c>
      <c r="N105" s="12">
        <v>1.8598559621683775E-2</v>
      </c>
      <c r="O105" s="12">
        <v>5.0924927658917429E-3</v>
      </c>
      <c r="P105" s="12">
        <v>1.0947150681738682E-2</v>
      </c>
      <c r="Q105" s="12">
        <v>4.0813105150744544E-2</v>
      </c>
      <c r="R105" s="12">
        <v>1.3917294169914829E-2</v>
      </c>
      <c r="S105" s="21">
        <f t="shared" si="0"/>
        <v>0.14654849176919471</v>
      </c>
      <c r="T105"/>
      <c r="U105"/>
      <c r="V105"/>
    </row>
    <row r="106" spans="2:24" x14ac:dyDescent="0.3">
      <c r="F106" s="250">
        <f>2024</f>
        <v>2024</v>
      </c>
      <c r="G106" s="13">
        <v>2.8212140545885722E-2</v>
      </c>
      <c r="H106" s="13">
        <v>-1.5067561616400438E-2</v>
      </c>
      <c r="I106" s="13">
        <v>2.9800172082096621E-2</v>
      </c>
      <c r="J106" s="13">
        <v>1.8705144031956301E-3</v>
      </c>
      <c r="K106" s="13">
        <v>8.2754915671663376E-3</v>
      </c>
      <c r="L106" s="13">
        <v>7.5547126150148358E-3</v>
      </c>
      <c r="M106" s="13">
        <v>7.07070396509768E-3</v>
      </c>
      <c r="N106" s="13">
        <v>-3.4979365761436121E-3</v>
      </c>
      <c r="O106" s="13">
        <v>2.3365946241550084E-2</v>
      </c>
      <c r="P106" s="13">
        <v>4.4935915427075646E-3</v>
      </c>
      <c r="Q106" s="13">
        <v>1.8723237483133204E-2</v>
      </c>
      <c r="R106" s="13">
        <v>2.1042846339169419E-2</v>
      </c>
      <c r="S106" s="21">
        <f t="shared" si="0"/>
        <v>0.13184385859247305</v>
      </c>
      <c r="T106"/>
      <c r="U106" s="369"/>
      <c r="V106" s="369"/>
    </row>
    <row r="107" spans="2:24" x14ac:dyDescent="0.3">
      <c r="F107" s="250">
        <v>2023</v>
      </c>
      <c r="G107" s="11">
        <v>2.4732033238752171E-2</v>
      </c>
      <c r="H107" s="11">
        <v>2.3979125399969492E-2</v>
      </c>
      <c r="I107" s="11">
        <v>-2.6442331112829454E-2</v>
      </c>
      <c r="J107" s="11">
        <v>1.1263054180021381E-2</v>
      </c>
      <c r="K107" s="11">
        <v>2.2700753632993287E-2</v>
      </c>
      <c r="L107" s="11">
        <v>1.7971783508183847E-3</v>
      </c>
      <c r="M107" s="11">
        <v>-1.9678177068469527E-3</v>
      </c>
      <c r="N107" s="11">
        <v>1.9940453147325732E-2</v>
      </c>
      <c r="O107" s="11">
        <v>2.5102480228562651E-3</v>
      </c>
      <c r="P107" s="11">
        <v>5.1378556099945794E-3</v>
      </c>
      <c r="Q107" s="11">
        <v>2.0742572096061229E-2</v>
      </c>
      <c r="R107" s="11">
        <v>2.7943765258617637E-2</v>
      </c>
      <c r="S107" s="21">
        <f t="shared" si="0"/>
        <v>0.13233689011773375</v>
      </c>
      <c r="T107"/>
      <c r="U107"/>
      <c r="V107"/>
    </row>
    <row r="108" spans="2:24" x14ac:dyDescent="0.3">
      <c r="F108" s="250">
        <v>2022</v>
      </c>
      <c r="G108" s="13">
        <v>0</v>
      </c>
      <c r="H108" s="13">
        <v>4.0000000000000036E-3</v>
      </c>
      <c r="I108" s="13">
        <v>1.4496674057649761E-2</v>
      </c>
      <c r="J108" s="13">
        <v>-3.3352421001097143E-3</v>
      </c>
      <c r="K108" s="13">
        <v>8.7309613905901529E-3</v>
      </c>
      <c r="L108" s="13">
        <v>4.501876724098941E-2</v>
      </c>
      <c r="M108" s="13">
        <v>7.0672047082243061E-3</v>
      </c>
      <c r="N108" s="13">
        <v>4.193646283459973E-3</v>
      </c>
      <c r="O108" s="13">
        <v>1.7725780594895379E-2</v>
      </c>
      <c r="P108" s="13">
        <v>1.3239614491834084E-2</v>
      </c>
      <c r="Q108" s="13">
        <v>-5.7346950239013039E-2</v>
      </c>
      <c r="R108" s="13">
        <v>5.9940342381142875E-2</v>
      </c>
      <c r="S108" s="21">
        <f>SUM(G108:R108)</f>
        <v>0.11373079880966319</v>
      </c>
      <c r="T108"/>
      <c r="U108"/>
      <c r="V108"/>
    </row>
    <row r="109" spans="2:24" x14ac:dyDescent="0.3">
      <c r="F109" s="3"/>
      <c r="O109" s="11"/>
      <c r="P109" s="11"/>
      <c r="Q109" s="11"/>
      <c r="R109" s="11"/>
      <c r="S109" s="21"/>
      <c r="T109"/>
      <c r="U109" s="369"/>
      <c r="V109" s="369"/>
    </row>
    <row r="110" spans="2:24" x14ac:dyDescent="0.3">
      <c r="F110" s="3"/>
      <c r="O110" s="11"/>
      <c r="P110" s="11"/>
      <c r="Q110" s="11"/>
      <c r="R110" s="11"/>
      <c r="S110" s="21"/>
      <c r="T110"/>
      <c r="U110" s="369"/>
      <c r="V110" s="369"/>
    </row>
    <row r="111" spans="2:24" x14ac:dyDescent="0.3">
      <c r="F111" s="368" t="s">
        <v>113</v>
      </c>
      <c r="G111" s="368"/>
      <c r="H111" s="368"/>
      <c r="I111" s="368"/>
      <c r="J111" s="20"/>
      <c r="K111" s="14"/>
      <c r="O111" s="11"/>
      <c r="P111" s="11"/>
      <c r="Q111" s="11"/>
      <c r="R111" s="11"/>
      <c r="S111" s="21"/>
      <c r="T111"/>
      <c r="U111"/>
      <c r="V111"/>
    </row>
    <row r="112" spans="2:24" x14ac:dyDescent="0.3">
      <c r="F112" s="59"/>
      <c r="G112" s="59" t="s">
        <v>32</v>
      </c>
      <c r="H112" s="59" t="s">
        <v>33</v>
      </c>
      <c r="I112" s="59" t="s">
        <v>34</v>
      </c>
      <c r="J112" s="59" t="s">
        <v>35</v>
      </c>
      <c r="K112" s="59" t="s">
        <v>36</v>
      </c>
      <c r="L112" s="59" t="s">
        <v>37</v>
      </c>
      <c r="M112" s="59" t="s">
        <v>38</v>
      </c>
      <c r="N112" s="59" t="s">
        <v>39</v>
      </c>
      <c r="O112" s="59" t="s">
        <v>40</v>
      </c>
      <c r="P112" s="59" t="s">
        <v>41</v>
      </c>
      <c r="Q112" s="59" t="s">
        <v>42</v>
      </c>
      <c r="R112" s="59" t="s">
        <v>43</v>
      </c>
      <c r="S112" s="60" t="s">
        <v>44</v>
      </c>
    </row>
    <row r="113" spans="6:19" x14ac:dyDescent="0.3">
      <c r="F113" s="250">
        <v>2026</v>
      </c>
      <c r="G113" s="13">
        <v>2.5051365055942298E-2</v>
      </c>
      <c r="H113" s="13">
        <v>-2.1568218186878152E-3</v>
      </c>
      <c r="I113" s="13">
        <v>-8.4437316971133197E-3</v>
      </c>
      <c r="J113" s="13"/>
      <c r="K113" s="13"/>
      <c r="L113" s="13"/>
      <c r="M113" s="13"/>
      <c r="N113" s="13"/>
      <c r="O113" s="13"/>
      <c r="P113" s="13"/>
      <c r="Q113" s="13"/>
      <c r="R113" s="13"/>
      <c r="S113" s="23">
        <f>SUM(G113:R113)</f>
        <v>1.4450811540141164E-2</v>
      </c>
    </row>
    <row r="114" spans="6:19" x14ac:dyDescent="0.3">
      <c r="F114" s="250">
        <v>2025</v>
      </c>
      <c r="G114" s="11">
        <v>3.03492300843968E-2</v>
      </c>
      <c r="H114" s="11">
        <v>-3.229881632447873E-2</v>
      </c>
      <c r="I114" s="11">
        <v>3.9147573961646032E-2</v>
      </c>
      <c r="J114" s="11">
        <v>-6.5103959126363575E-3</v>
      </c>
      <c r="K114" s="11">
        <v>2.2606813547752846E-2</v>
      </c>
      <c r="L114" s="11">
        <v>1.4477261122695539E-2</v>
      </c>
      <c r="M114" s="11">
        <v>-1.9364262823103884E-2</v>
      </c>
      <c r="N114" s="11">
        <v>4.0331263592975564E-2</v>
      </c>
      <c r="O114" s="11">
        <v>-2.0850487671271178E-3</v>
      </c>
      <c r="P114" s="11">
        <v>1.6800171792476393E-2</v>
      </c>
      <c r="Q114" s="11">
        <v>1.9474531268037998E-2</v>
      </c>
      <c r="R114" s="11">
        <v>2.7392177812356033E-2</v>
      </c>
      <c r="S114" s="21">
        <f>SUM(G114:R114)</f>
        <v>0.15032049935499112</v>
      </c>
    </row>
    <row r="115" spans="6:19" x14ac:dyDescent="0.3">
      <c r="F115" s="250">
        <v>2024</v>
      </c>
      <c r="G115" s="13">
        <v>2.013078114794542E-2</v>
      </c>
      <c r="H115" s="13">
        <v>-2.1696335354643992E-2</v>
      </c>
      <c r="I115" s="13">
        <v>3.0596198406555031E-2</v>
      </c>
      <c r="J115" s="13">
        <v>2.6745638152152251E-2</v>
      </c>
      <c r="K115" s="13">
        <v>-1.6926041699004024E-2</v>
      </c>
      <c r="L115" s="13">
        <v>8.0953826845611143E-3</v>
      </c>
      <c r="M115" s="13">
        <v>5.3452827779085776E-3</v>
      </c>
      <c r="N115" s="13">
        <v>-4.1080054135328781E-2</v>
      </c>
      <c r="O115" s="13">
        <v>6.2743957762449565E-2</v>
      </c>
      <c r="P115" s="13">
        <v>5.2274751326468749E-3</v>
      </c>
      <c r="Q115" s="13">
        <v>1.483580245758187E-2</v>
      </c>
      <c r="R115" s="13">
        <v>2.3746233455445909E-2</v>
      </c>
      <c r="S115" s="21">
        <f>SUM(G115:R115)</f>
        <v>0.11776432078826982</v>
      </c>
    </row>
    <row r="116" spans="6:19" x14ac:dyDescent="0.3">
      <c r="F116" s="250">
        <v>2023</v>
      </c>
      <c r="G116" s="11">
        <v>-1.5776703626397381E-2</v>
      </c>
      <c r="H116" s="11">
        <v>3.5369227290440897E-2</v>
      </c>
      <c r="I116" s="11">
        <v>-3.4702789810254986E-2</v>
      </c>
      <c r="J116" s="11">
        <v>9.5120547000910882E-3</v>
      </c>
      <c r="K116" s="11">
        <v>3.6395558870147893E-2</v>
      </c>
      <c r="L116" s="11">
        <v>1.3766132186155744E-2</v>
      </c>
      <c r="M116" s="11">
        <v>-3.8532792948982708E-2</v>
      </c>
      <c r="N116" s="11">
        <v>4.8170659174459951E-2</v>
      </c>
      <c r="O116" s="11">
        <v>1.1016358359948741E-2</v>
      </c>
      <c r="P116" s="11">
        <v>3.8245363651669972E-3</v>
      </c>
      <c r="Q116" s="11">
        <v>2.6155902383957041E-2</v>
      </c>
      <c r="R116" s="11">
        <v>2.8857846113397256E-2</v>
      </c>
      <c r="S116" s="21">
        <f>SUM(G116:R116)</f>
        <v>0.12405598905813053</v>
      </c>
    </row>
    <row r="117" spans="6:19" x14ac:dyDescent="0.3">
      <c r="F117" s="250">
        <v>2022</v>
      </c>
      <c r="G117" s="13">
        <v>0</v>
      </c>
      <c r="H117" s="13">
        <v>9.6327272727272373E-3</v>
      </c>
      <c r="I117" s="13">
        <v>1.1412713922186901E-2</v>
      </c>
      <c r="J117" s="13">
        <v>2.6180820454557718E-4</v>
      </c>
      <c r="K117" s="13">
        <v>9.5063851394678878E-3</v>
      </c>
      <c r="L117" s="13">
        <v>3.3090827757298547E-2</v>
      </c>
      <c r="M117" s="13">
        <v>1.0691289631647116E-2</v>
      </c>
      <c r="N117" s="13">
        <v>-5.1174001416094739E-2</v>
      </c>
      <c r="O117" s="13">
        <v>7.3498136997066865E-2</v>
      </c>
      <c r="P117" s="13">
        <v>2.4742418185357939E-2</v>
      </c>
      <c r="Q117" s="13">
        <v>-9.7845333117174249E-2</v>
      </c>
      <c r="R117" s="13">
        <v>6.9518651580236401E-2</v>
      </c>
      <c r="S117" s="21">
        <f>SUM(G117:R117)</f>
        <v>9.3335624157265484E-2</v>
      </c>
    </row>
  </sheetData>
  <mergeCells count="9">
    <mergeCell ref="F111:I111"/>
    <mergeCell ref="B49:X50"/>
    <mergeCell ref="B99:X100"/>
    <mergeCell ref="B2:X3"/>
    <mergeCell ref="U106:V106"/>
    <mergeCell ref="U109:V109"/>
    <mergeCell ref="U110:V110"/>
    <mergeCell ref="F102:H102"/>
    <mergeCell ref="B74:X75"/>
  </mergeCells>
  <phoneticPr fontId="6" type="noConversion"/>
  <pageMargins left="0.7" right="0.7" top="0.75" bottom="0.75" header="0.3" footer="0.3"/>
  <pageSetup paperSize="9"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84E95-4FF3-4D80-BD8C-E757CAEB4BD5}">
  <dimension ref="B2:P71"/>
  <sheetViews>
    <sheetView showGridLines="0" workbookViewId="0">
      <selection activeCell="E70" sqref="E70"/>
    </sheetView>
  </sheetViews>
  <sheetFormatPr defaultRowHeight="14.4" x14ac:dyDescent="0.3"/>
  <cols>
    <col min="1" max="1" width="3.33203125" customWidth="1"/>
    <col min="2" max="4" width="14.77734375" style="3" customWidth="1"/>
    <col min="5" max="5" width="14.77734375" style="90" customWidth="1"/>
    <col min="6" max="9" width="14.77734375" style="3" customWidth="1"/>
    <col min="10" max="10" width="14.77734375" style="24" customWidth="1"/>
    <col min="11" max="11" width="6.109375" customWidth="1"/>
    <col min="12" max="15" width="12.109375" customWidth="1"/>
    <col min="16" max="16" width="12.77734375" customWidth="1"/>
  </cols>
  <sheetData>
    <row r="2" spans="2:16" ht="14.4" customHeight="1" x14ac:dyDescent="0.3">
      <c r="B2" s="296" t="s">
        <v>134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</row>
    <row r="3" spans="2:16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4" spans="2:16" ht="15" customHeight="1" x14ac:dyDescent="0.3">
      <c r="B4"/>
      <c r="C4"/>
      <c r="D4"/>
      <c r="E4"/>
      <c r="F4"/>
      <c r="G4"/>
      <c r="H4"/>
      <c r="I4"/>
      <c r="J4"/>
    </row>
    <row r="5" spans="2:16" x14ac:dyDescent="0.3">
      <c r="B5" s="328" t="s">
        <v>135</v>
      </c>
      <c r="C5" s="328"/>
      <c r="D5" s="371" t="s">
        <v>136</v>
      </c>
      <c r="E5" s="371" t="s">
        <v>137</v>
      </c>
      <c r="F5" s="371" t="s">
        <v>142</v>
      </c>
      <c r="G5" s="371" t="s">
        <v>138</v>
      </c>
      <c r="H5" s="371" t="s">
        <v>139</v>
      </c>
      <c r="I5" s="371" t="s">
        <v>140</v>
      </c>
      <c r="J5" s="371" t="s">
        <v>141</v>
      </c>
    </row>
    <row r="6" spans="2:16" x14ac:dyDescent="0.3">
      <c r="B6" s="328"/>
      <c r="C6" s="328"/>
      <c r="D6" s="371"/>
      <c r="E6" s="371"/>
      <c r="F6" s="371"/>
      <c r="G6" s="371"/>
      <c r="H6" s="371"/>
      <c r="I6" s="371"/>
      <c r="J6" s="371"/>
    </row>
    <row r="7" spans="2:16" x14ac:dyDescent="0.3">
      <c r="B7" s="291" t="s">
        <v>164</v>
      </c>
      <c r="C7" s="291"/>
      <c r="D7" s="270">
        <v>13879695</v>
      </c>
      <c r="E7" s="245">
        <v>47569527</v>
      </c>
      <c r="F7" s="246">
        <v>0.27</v>
      </c>
      <c r="G7" s="233">
        <f>D7/E7</f>
        <v>0.29177702355543705</v>
      </c>
      <c r="H7" s="233">
        <f>D7/(D7+E7)</f>
        <v>0.22587259119407566</v>
      </c>
      <c r="I7" s="234">
        <v>0.83</v>
      </c>
      <c r="J7" s="247">
        <f>I7/(1+(1-F7)*G7)</f>
        <v>0.68425548005498382</v>
      </c>
    </row>
    <row r="8" spans="2:16" x14ac:dyDescent="0.3">
      <c r="B8" s="286" t="s">
        <v>145</v>
      </c>
      <c r="C8" s="286"/>
      <c r="D8" s="271">
        <v>7005639</v>
      </c>
      <c r="E8" s="131">
        <v>42693117</v>
      </c>
      <c r="F8" s="33">
        <v>0.27</v>
      </c>
      <c r="G8" s="43">
        <f t="shared" ref="G8:G14" si="0">D8/E8</f>
        <v>0.16409293797873789</v>
      </c>
      <c r="H8" s="43">
        <f t="shared" ref="H8:H14" si="1">D8/(D8+E8)</f>
        <v>0.14096205949299817</v>
      </c>
      <c r="I8" s="30">
        <v>0.91</v>
      </c>
      <c r="J8" s="26">
        <f t="shared" ref="J8:J14" si="2">I8/(1+(1-F8)*G8)</f>
        <v>0.81265393644624129</v>
      </c>
    </row>
    <row r="9" spans="2:16" x14ac:dyDescent="0.3">
      <c r="B9" s="286" t="s">
        <v>144</v>
      </c>
      <c r="C9" s="286"/>
      <c r="D9" s="271">
        <v>9635789</v>
      </c>
      <c r="E9" s="131">
        <v>37961257</v>
      </c>
      <c r="F9" s="33">
        <v>0.27</v>
      </c>
      <c r="G9" s="43">
        <f t="shared" si="0"/>
        <v>0.25383219001415047</v>
      </c>
      <c r="H9" s="43">
        <f t="shared" si="1"/>
        <v>0.20244510552188469</v>
      </c>
      <c r="I9" s="30">
        <v>1.02</v>
      </c>
      <c r="J9" s="26">
        <f t="shared" si="2"/>
        <v>0.86054345099843488</v>
      </c>
    </row>
    <row r="10" spans="2:16" x14ac:dyDescent="0.3">
      <c r="B10" s="286" t="s">
        <v>146</v>
      </c>
      <c r="C10" s="286"/>
      <c r="D10" s="271">
        <v>17613258</v>
      </c>
      <c r="E10" s="131">
        <v>81770614</v>
      </c>
      <c r="F10" s="33">
        <v>0.27</v>
      </c>
      <c r="G10" s="43">
        <f t="shared" si="0"/>
        <v>0.21539838260233682</v>
      </c>
      <c r="H10" s="43">
        <f t="shared" si="1"/>
        <v>0.17722450982791252</v>
      </c>
      <c r="I10" s="30">
        <v>0.98</v>
      </c>
      <c r="J10" s="26">
        <f t="shared" si="2"/>
        <v>0.84684188775248903</v>
      </c>
    </row>
    <row r="11" spans="2:16" x14ac:dyDescent="0.3">
      <c r="B11" s="286" t="s">
        <v>149</v>
      </c>
      <c r="C11" s="286"/>
      <c r="D11" s="271">
        <v>5789631</v>
      </c>
      <c r="E11" s="131">
        <v>51694376</v>
      </c>
      <c r="F11" s="33">
        <v>0.27</v>
      </c>
      <c r="G11" s="43">
        <f t="shared" si="0"/>
        <v>0.11199730895291202</v>
      </c>
      <c r="H11" s="43">
        <f t="shared" si="1"/>
        <v>0.10071724819044017</v>
      </c>
      <c r="I11" s="30">
        <v>0.79</v>
      </c>
      <c r="J11" s="26">
        <f t="shared" si="2"/>
        <v>0.730292703218827</v>
      </c>
    </row>
    <row r="12" spans="2:16" x14ac:dyDescent="0.3">
      <c r="B12" s="286" t="s">
        <v>150</v>
      </c>
      <c r="C12" s="286"/>
      <c r="D12" s="271">
        <v>33699103</v>
      </c>
      <c r="E12" s="131">
        <v>117988694</v>
      </c>
      <c r="F12" s="33">
        <v>0.27</v>
      </c>
      <c r="G12" s="43">
        <f t="shared" si="0"/>
        <v>0.28561298424067649</v>
      </c>
      <c r="H12" s="43">
        <f t="shared" si="1"/>
        <v>0.22216093625514252</v>
      </c>
      <c r="I12" s="30">
        <v>1.1200000000000001</v>
      </c>
      <c r="J12" s="26">
        <f t="shared" si="2"/>
        <v>0.92677065523888957</v>
      </c>
    </row>
    <row r="13" spans="2:16" x14ac:dyDescent="0.3">
      <c r="B13" s="286" t="s">
        <v>147</v>
      </c>
      <c r="C13" s="286"/>
      <c r="D13" s="271">
        <v>9969264</v>
      </c>
      <c r="E13" s="131">
        <v>58794265</v>
      </c>
      <c r="F13" s="33">
        <v>0.27</v>
      </c>
      <c r="G13" s="43">
        <f t="shared" si="0"/>
        <v>0.16956184416966519</v>
      </c>
      <c r="H13" s="43">
        <f t="shared" si="1"/>
        <v>0.14497894661572708</v>
      </c>
      <c r="I13" s="30">
        <v>1.0900000000000001</v>
      </c>
      <c r="J13" s="26">
        <f t="shared" si="2"/>
        <v>0.96994060950732841</v>
      </c>
    </row>
    <row r="14" spans="2:16" x14ac:dyDescent="0.3">
      <c r="B14" s="286" t="s">
        <v>148</v>
      </c>
      <c r="C14" s="286"/>
      <c r="D14" s="271">
        <v>22891569</v>
      </c>
      <c r="E14" s="131">
        <v>146958111</v>
      </c>
      <c r="F14" s="33">
        <v>0.27</v>
      </c>
      <c r="G14" s="43">
        <f t="shared" si="0"/>
        <v>0.15576934708966148</v>
      </c>
      <c r="H14" s="43">
        <f t="shared" si="1"/>
        <v>0.1347754614550937</v>
      </c>
      <c r="I14" s="30">
        <v>0.93</v>
      </c>
      <c r="J14" s="26">
        <f t="shared" si="2"/>
        <v>0.83504560828892394</v>
      </c>
    </row>
    <row r="15" spans="2:16" x14ac:dyDescent="0.3">
      <c r="E15" s="89"/>
      <c r="F15" s="103"/>
      <c r="G15" s="83"/>
      <c r="H15" s="83"/>
      <c r="I15" s="83"/>
      <c r="J15" s="91"/>
    </row>
    <row r="16" spans="2:16" x14ac:dyDescent="0.3">
      <c r="B16" s="71"/>
      <c r="C16" s="71"/>
      <c r="D16" s="71"/>
      <c r="E16" s="104" t="s">
        <v>151</v>
      </c>
      <c r="F16" s="105">
        <f>AVERAGE(F7:F14)</f>
        <v>0.27</v>
      </c>
      <c r="G16" s="105">
        <f t="shared" ref="G16:J16" si="3">AVERAGE(G7:G14)</f>
        <v>0.20600525232544717</v>
      </c>
      <c r="H16" s="105">
        <f>AVERAGE(H7:H14)</f>
        <v>0.16864210731915932</v>
      </c>
      <c r="I16" s="106">
        <f t="shared" si="3"/>
        <v>0.95874999999999988</v>
      </c>
      <c r="J16" s="106">
        <f t="shared" si="3"/>
        <v>0.83329304143826477</v>
      </c>
    </row>
    <row r="17" spans="2:13" x14ac:dyDescent="0.3">
      <c r="E17" s="92" t="s">
        <v>152</v>
      </c>
      <c r="F17" s="87">
        <f>MEDIAN(F7:F14)</f>
        <v>0.27</v>
      </c>
      <c r="G17" s="87">
        <f t="shared" ref="G17:J17" si="4">MEDIAN(G7:G14)</f>
        <v>0.19248011338600102</v>
      </c>
      <c r="H17" s="87">
        <f t="shared" si="4"/>
        <v>0.16110172822181978</v>
      </c>
      <c r="I17" s="88">
        <f t="shared" si="4"/>
        <v>0.95500000000000007</v>
      </c>
      <c r="J17" s="88">
        <f t="shared" si="4"/>
        <v>0.84094374802070648</v>
      </c>
    </row>
    <row r="19" spans="2:13" x14ac:dyDescent="0.3">
      <c r="B19" s="117" t="s">
        <v>153</v>
      </c>
      <c r="C19" s="118"/>
      <c r="D19" s="118"/>
      <c r="E19" s="119"/>
      <c r="G19" s="120" t="s">
        <v>154</v>
      </c>
      <c r="H19" s="118"/>
      <c r="I19" s="118"/>
      <c r="J19" s="121"/>
    </row>
    <row r="21" spans="2:13" x14ac:dyDescent="0.3">
      <c r="B21" s="72" t="s">
        <v>155</v>
      </c>
      <c r="C21" s="71"/>
      <c r="E21" s="95">
        <v>6.4000000000000001E-2</v>
      </c>
      <c r="G21" s="72" t="s">
        <v>158</v>
      </c>
      <c r="J21" s="269">
        <v>0.08</v>
      </c>
    </row>
    <row r="22" spans="2:13" x14ac:dyDescent="0.3">
      <c r="B22" s="72" t="s">
        <v>156</v>
      </c>
      <c r="C22" s="71"/>
      <c r="E22" s="96">
        <f>J16</f>
        <v>0.83329304143826477</v>
      </c>
      <c r="G22" s="72" t="s">
        <v>157</v>
      </c>
      <c r="J22" s="97">
        <f>E24</f>
        <v>6.0201010692518785E-2</v>
      </c>
    </row>
    <row r="23" spans="2:13" x14ac:dyDescent="0.3">
      <c r="B23" s="73" t="s">
        <v>168</v>
      </c>
      <c r="C23" s="71"/>
      <c r="E23" s="99">
        <f>E22*(1+(1-E29)*E39)</f>
        <v>0.94064079207060602</v>
      </c>
      <c r="G23" s="72" t="s">
        <v>159</v>
      </c>
      <c r="J23" s="269">
        <v>0</v>
      </c>
    </row>
    <row r="24" spans="2:13" x14ac:dyDescent="0.3">
      <c r="B24" s="72" t="s">
        <v>157</v>
      </c>
      <c r="C24" s="71"/>
      <c r="E24" s="94">
        <f>E21*E23</f>
        <v>6.0201010692518785E-2</v>
      </c>
      <c r="G24" s="72" t="s">
        <v>154</v>
      </c>
      <c r="J24" s="97">
        <f>SUM(J21:J23)</f>
        <v>0.14020101069251878</v>
      </c>
    </row>
    <row r="25" spans="2:13" x14ac:dyDescent="0.3">
      <c r="B25" s="72"/>
      <c r="C25" s="71"/>
      <c r="G25" s="72"/>
      <c r="J25" s="11"/>
    </row>
    <row r="26" spans="2:13" x14ac:dyDescent="0.3">
      <c r="B26" s="117" t="s">
        <v>160</v>
      </c>
      <c r="C26" s="118"/>
      <c r="D26" s="118"/>
      <c r="E26" s="119"/>
      <c r="G26" s="117" t="s">
        <v>236</v>
      </c>
      <c r="H26" s="118"/>
      <c r="I26" s="118"/>
      <c r="J26" s="119"/>
    </row>
    <row r="27" spans="2:13" x14ac:dyDescent="0.3">
      <c r="G27" s="72"/>
      <c r="J27" s="11"/>
    </row>
    <row r="28" spans="2:13" x14ac:dyDescent="0.3">
      <c r="B28" s="72" t="s">
        <v>165</v>
      </c>
      <c r="E28" s="93">
        <v>0.115</v>
      </c>
      <c r="G28" s="72" t="s">
        <v>171</v>
      </c>
      <c r="J28" s="161">
        <f>E68</f>
        <v>509738</v>
      </c>
    </row>
    <row r="29" spans="2:13" x14ac:dyDescent="0.3">
      <c r="B29" s="72" t="s">
        <v>166</v>
      </c>
      <c r="E29" s="93">
        <v>0.27</v>
      </c>
      <c r="G29" s="72" t="s">
        <v>172</v>
      </c>
      <c r="J29" s="133">
        <f>E69</f>
        <v>579.99972539999999</v>
      </c>
    </row>
    <row r="30" spans="2:13" x14ac:dyDescent="0.3">
      <c r="B30" s="72" t="s">
        <v>167</v>
      </c>
      <c r="E30" s="122">
        <f>E28*(1-E29)</f>
        <v>8.3949999999999997E-2</v>
      </c>
      <c r="G30" s="250" t="s">
        <v>236</v>
      </c>
      <c r="J30" s="133">
        <f>J28*J29</f>
        <v>295647900.02594519</v>
      </c>
      <c r="L30" s="282"/>
      <c r="M30" s="282"/>
    </row>
    <row r="32" spans="2:13" x14ac:dyDescent="0.3">
      <c r="B32" s="120" t="s">
        <v>161</v>
      </c>
      <c r="C32" s="118"/>
      <c r="D32" s="118"/>
      <c r="E32" s="121"/>
      <c r="G32" s="117" t="s">
        <v>162</v>
      </c>
      <c r="H32" s="118"/>
      <c r="I32" s="118"/>
      <c r="J32" s="119"/>
    </row>
    <row r="33" spans="2:16" x14ac:dyDescent="0.3">
      <c r="E33" s="24"/>
    </row>
    <row r="34" spans="2:16" x14ac:dyDescent="0.3">
      <c r="D34" s="112" t="s">
        <v>169</v>
      </c>
      <c r="E34" s="112" t="s">
        <v>170</v>
      </c>
      <c r="I34" s="85" t="s">
        <v>176</v>
      </c>
      <c r="J34" s="85" t="s">
        <v>177</v>
      </c>
      <c r="M34" s="3"/>
      <c r="N34" s="3"/>
      <c r="O34" s="3"/>
      <c r="P34" s="90"/>
    </row>
    <row r="35" spans="2:16" x14ac:dyDescent="0.3">
      <c r="B35" s="72" t="s">
        <v>163</v>
      </c>
      <c r="C35" s="132">
        <v>2500000</v>
      </c>
      <c r="D35" s="11">
        <f>C35/C37</f>
        <v>8.3851001458754102E-3</v>
      </c>
      <c r="E35" s="98">
        <v>0.15</v>
      </c>
      <c r="G35" s="72" t="s">
        <v>174</v>
      </c>
      <c r="I35" s="110">
        <v>0.15</v>
      </c>
      <c r="J35" s="111">
        <f>E30</f>
        <v>8.3949999999999997E-2</v>
      </c>
      <c r="M35" s="3"/>
      <c r="N35" s="3"/>
      <c r="O35" s="3"/>
      <c r="P35" s="90"/>
    </row>
    <row r="36" spans="2:16" x14ac:dyDescent="0.3">
      <c r="B36" s="72" t="s">
        <v>236</v>
      </c>
      <c r="C36" s="133">
        <f>J30</f>
        <v>295647900.02594519</v>
      </c>
      <c r="D36" s="11">
        <f>C36/C37</f>
        <v>0.99161489985412454</v>
      </c>
      <c r="E36" s="11">
        <f>1-E35</f>
        <v>0.85</v>
      </c>
      <c r="G36" s="72" t="s">
        <v>175</v>
      </c>
      <c r="I36" s="11">
        <v>0.85</v>
      </c>
      <c r="J36" s="11">
        <f>J24</f>
        <v>0.14020101069251878</v>
      </c>
      <c r="M36" s="3"/>
      <c r="N36" s="3"/>
      <c r="O36" s="3"/>
      <c r="P36" s="90"/>
    </row>
    <row r="37" spans="2:16" x14ac:dyDescent="0.3">
      <c r="B37" s="113" t="s">
        <v>120</v>
      </c>
      <c r="C37" s="134">
        <f>SUM(C35:C36)</f>
        <v>298147900.02594519</v>
      </c>
      <c r="D37" s="114">
        <f>SUM(D35:D36)</f>
        <v>1</v>
      </c>
      <c r="E37" s="114">
        <f>SUM(E35:E36)</f>
        <v>1</v>
      </c>
      <c r="M37" s="3"/>
      <c r="N37" s="3"/>
      <c r="O37" s="3"/>
      <c r="P37" s="90"/>
    </row>
    <row r="38" spans="2:16" x14ac:dyDescent="0.3">
      <c r="E38" s="24"/>
      <c r="M38" s="3"/>
      <c r="N38" s="3"/>
      <c r="O38" s="3"/>
      <c r="P38" s="90"/>
    </row>
    <row r="39" spans="2:16" ht="15" thickBot="1" x14ac:dyDescent="0.35">
      <c r="B39" s="115" t="s">
        <v>173</v>
      </c>
      <c r="C39" s="115"/>
      <c r="D39" s="116">
        <f>D35/D36</f>
        <v>8.4560045912066614E-3</v>
      </c>
      <c r="E39" s="116">
        <f>E35/E36</f>
        <v>0.17647058823529413</v>
      </c>
      <c r="G39" s="108" t="s">
        <v>162</v>
      </c>
      <c r="H39" s="107"/>
      <c r="I39" s="107"/>
      <c r="J39" s="109">
        <f>SUMPRODUCT(I35:I36,J35:J36)</f>
        <v>0.13176335908864095</v>
      </c>
      <c r="M39" s="3"/>
      <c r="N39" s="3"/>
      <c r="O39" s="3"/>
      <c r="P39" s="90"/>
    </row>
    <row r="41" spans="2:16" x14ac:dyDescent="0.3">
      <c r="B41" s="100"/>
      <c r="C41" s="100"/>
      <c r="D41" s="100"/>
      <c r="E41" s="101"/>
    </row>
    <row r="42" spans="2:16" ht="14.4" customHeight="1" x14ac:dyDescent="0.3">
      <c r="B42" s="296" t="s">
        <v>193</v>
      </c>
      <c r="C42" s="296"/>
      <c r="D42" s="296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</row>
    <row r="43" spans="2:16" ht="15" customHeight="1" x14ac:dyDescent="0.3"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</row>
    <row r="44" spans="2:16" x14ac:dyDescent="0.3">
      <c r="B44" s="102"/>
      <c r="C44" s="100"/>
      <c r="D44" s="100"/>
      <c r="E44" s="101"/>
    </row>
    <row r="45" spans="2:16" ht="15" thickBot="1" x14ac:dyDescent="0.35">
      <c r="B45" s="123" t="s">
        <v>143</v>
      </c>
      <c r="C45" s="123"/>
      <c r="D45" s="123"/>
      <c r="E45" s="130">
        <v>2027</v>
      </c>
      <c r="F45" s="130">
        <f>E45+1</f>
        <v>2028</v>
      </c>
      <c r="G45" s="130">
        <f>F45+1</f>
        <v>2029</v>
      </c>
      <c r="H45" s="130">
        <f>G45+1</f>
        <v>2030</v>
      </c>
      <c r="I45" s="130">
        <f>H45+1</f>
        <v>2031</v>
      </c>
      <c r="J45" s="130" t="s">
        <v>191</v>
      </c>
    </row>
    <row r="46" spans="2:16" x14ac:dyDescent="0.3">
      <c r="E46" s="137"/>
      <c r="F46" s="137"/>
      <c r="G46" s="137"/>
      <c r="H46" s="137"/>
      <c r="I46" s="137"/>
      <c r="J46" s="137"/>
    </row>
    <row r="47" spans="2:16" ht="15" x14ac:dyDescent="0.35">
      <c r="B47" s="129" t="s">
        <v>192</v>
      </c>
      <c r="E47" s="3"/>
      <c r="H47" s="24"/>
      <c r="I47"/>
      <c r="J47"/>
    </row>
    <row r="48" spans="2:16" ht="15" x14ac:dyDescent="0.35">
      <c r="B48" s="128" t="s">
        <v>187</v>
      </c>
      <c r="E48" s="132">
        <v>17293075.4767805</v>
      </c>
      <c r="F48" s="132">
        <v>20353010.924100608</v>
      </c>
      <c r="G48" s="132">
        <v>24000881.725764364</v>
      </c>
      <c r="H48" s="132">
        <v>28187991.910114989</v>
      </c>
      <c r="I48" s="132">
        <v>32954762.108022861</v>
      </c>
      <c r="J48" s="132">
        <v>38227524.045306496</v>
      </c>
    </row>
    <row r="49" spans="2:15" ht="15" x14ac:dyDescent="0.35">
      <c r="B49" s="128" t="s">
        <v>188</v>
      </c>
      <c r="E49" s="135">
        <v>-2521199.7667887169</v>
      </c>
      <c r="F49" s="135">
        <v>-3307682.0688563637</v>
      </c>
      <c r="G49" s="135">
        <v>-4256890.8485978926</v>
      </c>
      <c r="H49" s="135">
        <v>-5337560.622612725</v>
      </c>
      <c r="I49" s="135">
        <v>-6579290.8959635971</v>
      </c>
      <c r="J49" s="135">
        <v>-7960941.9841159498</v>
      </c>
    </row>
    <row r="50" spans="2:15" ht="15" x14ac:dyDescent="0.35">
      <c r="B50" s="128" t="s">
        <v>189</v>
      </c>
      <c r="E50" s="135">
        <v>9000000</v>
      </c>
      <c r="F50" s="135">
        <v>9500000</v>
      </c>
      <c r="G50" s="135">
        <v>10500000</v>
      </c>
      <c r="H50" s="135">
        <v>11500000</v>
      </c>
      <c r="I50" s="135">
        <v>12500000</v>
      </c>
      <c r="J50" s="135">
        <v>13500000</v>
      </c>
    </row>
    <row r="51" spans="2:15" ht="15" x14ac:dyDescent="0.35">
      <c r="B51" s="128" t="s">
        <v>190</v>
      </c>
      <c r="E51" s="135">
        <v>-643098.48560490692</v>
      </c>
      <c r="F51" s="135">
        <v>-733601.00487681618</v>
      </c>
      <c r="G51" s="135">
        <v>-863978.156878863</v>
      </c>
      <c r="H51" s="135">
        <v>-983898.32505365089</v>
      </c>
      <c r="I51" s="135">
        <v>-1122481.5383141995</v>
      </c>
      <c r="J51" s="135">
        <v>-1279628.95367819</v>
      </c>
    </row>
    <row r="52" spans="2:15" ht="15" x14ac:dyDescent="0.35">
      <c r="B52" s="128" t="s">
        <v>184</v>
      </c>
      <c r="E52" s="136">
        <f>SUM(E48:E51)</f>
        <v>23128777.224386875</v>
      </c>
      <c r="F52" s="136">
        <f t="shared" ref="F52:J52" si="5">SUM(F48:F51)</f>
        <v>25811727.850367431</v>
      </c>
      <c r="G52" s="136">
        <f t="shared" si="5"/>
        <v>29380012.72028761</v>
      </c>
      <c r="H52" s="136">
        <f t="shared" si="5"/>
        <v>33366532.962448608</v>
      </c>
      <c r="I52" s="136">
        <f t="shared" si="5"/>
        <v>37752989.673745058</v>
      </c>
      <c r="J52" s="136">
        <f t="shared" si="5"/>
        <v>42486953.107512355</v>
      </c>
    </row>
    <row r="55" spans="2:15" ht="14.4" customHeight="1" x14ac:dyDescent="0.3">
      <c r="B55" s="296" t="s">
        <v>211</v>
      </c>
      <c r="C55" s="296"/>
      <c r="D55" s="296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</row>
    <row r="56" spans="2:15" ht="15" customHeight="1" x14ac:dyDescent="0.3">
      <c r="B56" s="296"/>
      <c r="C56" s="296"/>
      <c r="D56" s="296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</row>
    <row r="58" spans="2:15" x14ac:dyDescent="0.3">
      <c r="B58" s="117" t="s">
        <v>212</v>
      </c>
      <c r="C58" s="117"/>
      <c r="D58" s="117"/>
      <c r="E58" s="117"/>
      <c r="G58" s="117" t="s">
        <v>219</v>
      </c>
      <c r="H58" s="117"/>
      <c r="I58" s="117"/>
      <c r="J58" s="117"/>
    </row>
    <row r="59" spans="2:15" x14ac:dyDescent="0.3">
      <c r="B59" s="151"/>
    </row>
    <row r="60" spans="2:15" ht="15" x14ac:dyDescent="0.3">
      <c r="B60" s="3" t="s">
        <v>213</v>
      </c>
      <c r="E60" s="132">
        <v>8563733</v>
      </c>
      <c r="G60" s="155" t="s">
        <v>218</v>
      </c>
      <c r="I60" s="152" t="s">
        <v>220</v>
      </c>
      <c r="J60" s="154">
        <v>46477</v>
      </c>
    </row>
    <row r="61" spans="2:15" ht="15" x14ac:dyDescent="0.3">
      <c r="G61" s="155" t="s">
        <v>221</v>
      </c>
      <c r="I61" s="152" t="s">
        <v>220</v>
      </c>
      <c r="J61" s="154">
        <v>46568</v>
      </c>
    </row>
    <row r="62" spans="2:15" ht="15" x14ac:dyDescent="0.3">
      <c r="G62" s="156" t="s">
        <v>222</v>
      </c>
      <c r="I62" s="152" t="s">
        <v>220</v>
      </c>
      <c r="J62" s="154">
        <v>46752</v>
      </c>
    </row>
    <row r="63" spans="2:15" ht="15" x14ac:dyDescent="0.3">
      <c r="G63" s="156" t="s">
        <v>223</v>
      </c>
      <c r="I63" s="152"/>
      <c r="J63" s="157">
        <v>2027</v>
      </c>
    </row>
    <row r="64" spans="2:15" ht="15" x14ac:dyDescent="0.3">
      <c r="G64" s="156" t="s">
        <v>224</v>
      </c>
      <c r="J64" s="157">
        <v>365</v>
      </c>
    </row>
    <row r="66" spans="2:5" x14ac:dyDescent="0.3">
      <c r="B66" s="117" t="s">
        <v>180</v>
      </c>
      <c r="C66" s="117"/>
      <c r="D66" s="117"/>
      <c r="E66" s="117"/>
    </row>
    <row r="68" spans="2:5" ht="15" x14ac:dyDescent="0.3">
      <c r="B68" s="156" t="s">
        <v>214</v>
      </c>
      <c r="D68" s="152" t="s">
        <v>217</v>
      </c>
      <c r="E68" s="132">
        <v>509738</v>
      </c>
    </row>
    <row r="69" spans="2:5" ht="15" x14ac:dyDescent="0.3">
      <c r="B69" s="158" t="s">
        <v>229</v>
      </c>
      <c r="D69" s="153" t="s">
        <v>230</v>
      </c>
      <c r="E69" s="283">
        <v>579.99972539999999</v>
      </c>
    </row>
    <row r="70" spans="2:5" ht="15" x14ac:dyDescent="0.3">
      <c r="B70" s="156" t="s">
        <v>225</v>
      </c>
      <c r="D70" s="153" t="s">
        <v>227</v>
      </c>
      <c r="E70" s="159">
        <v>0.01</v>
      </c>
    </row>
    <row r="71" spans="2:5" ht="15" x14ac:dyDescent="0.3">
      <c r="B71" s="156" t="s">
        <v>226</v>
      </c>
      <c r="D71" s="153" t="s">
        <v>228</v>
      </c>
      <c r="E71" s="160">
        <v>9.5</v>
      </c>
    </row>
  </sheetData>
  <mergeCells count="19">
    <mergeCell ref="B55:O56"/>
    <mergeCell ref="B11:C11"/>
    <mergeCell ref="B12:C12"/>
    <mergeCell ref="B13:C13"/>
    <mergeCell ref="B14:C14"/>
    <mergeCell ref="D5:D6"/>
    <mergeCell ref="E5:E6"/>
    <mergeCell ref="F5:F6"/>
    <mergeCell ref="B2:P3"/>
    <mergeCell ref="B42:O43"/>
    <mergeCell ref="J5:J6"/>
    <mergeCell ref="B7:C7"/>
    <mergeCell ref="B8:C8"/>
    <mergeCell ref="B9:C9"/>
    <mergeCell ref="G5:G6"/>
    <mergeCell ref="H5:H6"/>
    <mergeCell ref="I5:I6"/>
    <mergeCell ref="B10:C10"/>
    <mergeCell ref="B5:C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A5CEF-A056-468B-8F4B-1082D85778BF}">
  <dimension ref="B2:P86"/>
  <sheetViews>
    <sheetView showGridLines="0" workbookViewId="0">
      <selection activeCell="P53" sqref="P53"/>
    </sheetView>
  </sheetViews>
  <sheetFormatPr defaultRowHeight="14.4" x14ac:dyDescent="0.3"/>
  <cols>
    <col min="1" max="1" width="3.33203125" customWidth="1"/>
    <col min="2" max="4" width="13.77734375" style="3" customWidth="1"/>
    <col min="5" max="6" width="9.77734375" style="3" customWidth="1"/>
    <col min="7" max="15" width="13.77734375" style="3" customWidth="1"/>
    <col min="16" max="16" width="15.33203125" style="3" customWidth="1"/>
  </cols>
  <sheetData>
    <row r="2" spans="2:16" ht="14.4" customHeight="1" x14ac:dyDescent="0.3">
      <c r="B2" s="296" t="s">
        <v>179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</row>
    <row r="3" spans="2:16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</row>
    <row r="5" spans="2:16" x14ac:dyDescent="0.3">
      <c r="B5" s="372" t="s">
        <v>143</v>
      </c>
      <c r="C5" s="372"/>
      <c r="D5" s="372"/>
      <c r="E5" s="393"/>
      <c r="F5" s="394"/>
      <c r="G5" s="383" t="s">
        <v>180</v>
      </c>
      <c r="H5" s="385" t="s">
        <v>181</v>
      </c>
      <c r="I5" s="386"/>
      <c r="J5" s="386"/>
      <c r="K5" s="386"/>
      <c r="L5" s="387"/>
      <c r="M5" s="383" t="s">
        <v>191</v>
      </c>
      <c r="O5" s="379" t="s">
        <v>183</v>
      </c>
      <c r="P5" s="381">
        <f>'DCF Outputs'!F7</f>
        <v>0.01</v>
      </c>
    </row>
    <row r="6" spans="2:16" x14ac:dyDescent="0.3">
      <c r="B6" s="372"/>
      <c r="C6" s="372"/>
      <c r="D6" s="372"/>
      <c r="E6" s="397"/>
      <c r="F6" s="398"/>
      <c r="G6" s="384"/>
      <c r="H6" s="388"/>
      <c r="I6" s="389"/>
      <c r="J6" s="389"/>
      <c r="K6" s="389"/>
      <c r="L6" s="390"/>
      <c r="M6" s="384"/>
      <c r="O6" s="379"/>
      <c r="P6" s="381"/>
    </row>
    <row r="7" spans="2:16" x14ac:dyDescent="0.3">
      <c r="E7" s="391" t="s">
        <v>185</v>
      </c>
      <c r="F7" s="392"/>
      <c r="G7" s="124">
        <v>46477</v>
      </c>
      <c r="H7" s="124">
        <v>46752</v>
      </c>
      <c r="I7" s="124">
        <v>47118</v>
      </c>
      <c r="J7" s="124">
        <v>47483</v>
      </c>
      <c r="K7" s="124">
        <v>47848</v>
      </c>
      <c r="L7" s="124">
        <v>48213</v>
      </c>
      <c r="M7" s="124">
        <v>48579</v>
      </c>
    </row>
    <row r="8" spans="2:16" x14ac:dyDescent="0.3">
      <c r="E8" s="391" t="s">
        <v>186</v>
      </c>
      <c r="F8" s="392"/>
      <c r="G8" s="124">
        <v>46477</v>
      </c>
      <c r="H8" s="124">
        <v>46568</v>
      </c>
      <c r="I8" s="124">
        <v>46934</v>
      </c>
      <c r="J8" s="124">
        <v>47299</v>
      </c>
      <c r="K8" s="124">
        <v>47756</v>
      </c>
      <c r="L8" s="124">
        <v>48121</v>
      </c>
      <c r="M8" s="124">
        <v>48487</v>
      </c>
      <c r="O8" s="382" t="s">
        <v>182</v>
      </c>
      <c r="P8" s="380">
        <f>'DCF Outputs'!F8</f>
        <v>0.13176335908864095</v>
      </c>
    </row>
    <row r="9" spans="2:16" ht="15" customHeight="1" x14ac:dyDescent="0.3">
      <c r="O9" s="382"/>
      <c r="P9" s="380"/>
    </row>
    <row r="10" spans="2:16" ht="14.4" customHeight="1" x14ac:dyDescent="0.3">
      <c r="B10" s="143" t="s">
        <v>184</v>
      </c>
      <c r="G10" s="176">
        <v>0</v>
      </c>
      <c r="H10" s="138">
        <f>'DCF Inputs'!E52</f>
        <v>23128777.224386875</v>
      </c>
      <c r="I10" s="138">
        <f>'DCF Inputs'!F52</f>
        <v>25811727.850367431</v>
      </c>
      <c r="J10" s="138">
        <f>'DCF Inputs'!G52</f>
        <v>29380012.72028761</v>
      </c>
      <c r="K10" s="138">
        <f>'DCF Inputs'!H52</f>
        <v>33366532.962448608</v>
      </c>
      <c r="L10" s="138">
        <f>'DCF Inputs'!I52</f>
        <v>37752989.673745058</v>
      </c>
      <c r="M10" s="177">
        <f>'DCF Inputs'!J52</f>
        <v>42486953.107512355</v>
      </c>
    </row>
    <row r="12" spans="2:16" x14ac:dyDescent="0.3">
      <c r="B12" s="144" t="s">
        <v>198</v>
      </c>
    </row>
    <row r="13" spans="2:16" x14ac:dyDescent="0.3">
      <c r="B13" s="145" t="s">
        <v>181</v>
      </c>
      <c r="G13" s="141">
        <v>0</v>
      </c>
      <c r="H13" s="136">
        <f>H10</f>
        <v>23128777.224386875</v>
      </c>
      <c r="I13" s="136">
        <f t="shared" ref="I13:L13" si="0">I10</f>
        <v>25811727.850367431</v>
      </c>
      <c r="J13" s="136">
        <f t="shared" si="0"/>
        <v>29380012.72028761</v>
      </c>
      <c r="K13" s="136">
        <f t="shared" si="0"/>
        <v>33366532.962448608</v>
      </c>
      <c r="L13" s="136">
        <f>L10</f>
        <v>37752989.673745058</v>
      </c>
    </row>
    <row r="14" spans="2:16" x14ac:dyDescent="0.3">
      <c r="B14" s="145" t="s">
        <v>194</v>
      </c>
      <c r="G14" s="141">
        <v>0</v>
      </c>
      <c r="H14" s="139">
        <v>0</v>
      </c>
      <c r="I14" s="139">
        <v>0</v>
      </c>
      <c r="J14" s="139">
        <v>0</v>
      </c>
      <c r="K14" s="139">
        <v>0</v>
      </c>
      <c r="L14" s="136">
        <f>M10/(P8-P5)</f>
        <v>348930527.42231607</v>
      </c>
    </row>
    <row r="15" spans="2:16" x14ac:dyDescent="0.3">
      <c r="B15" s="145" t="s">
        <v>195</v>
      </c>
      <c r="G15" s="175">
        <f>SUM(G13:G14)</f>
        <v>0</v>
      </c>
      <c r="H15" s="150">
        <f t="shared" ref="H15:L15" si="1">SUM(H13:H14)</f>
        <v>23128777.224386875</v>
      </c>
      <c r="I15" s="150">
        <f t="shared" si="1"/>
        <v>25811727.850367431</v>
      </c>
      <c r="J15" s="150">
        <f t="shared" si="1"/>
        <v>29380012.72028761</v>
      </c>
      <c r="K15" s="150">
        <f t="shared" si="1"/>
        <v>33366532.962448608</v>
      </c>
      <c r="L15" s="150">
        <f>SUM(L13:L14)</f>
        <v>386683517.09606111</v>
      </c>
    </row>
    <row r="16" spans="2:16" x14ac:dyDescent="0.3">
      <c r="B16" s="144"/>
      <c r="G16" s="25"/>
    </row>
    <row r="17" spans="2:16" x14ac:dyDescent="0.3">
      <c r="B17" s="144" t="s">
        <v>199</v>
      </c>
      <c r="G17" s="25"/>
    </row>
    <row r="18" spans="2:16" x14ac:dyDescent="0.3">
      <c r="B18" s="146" t="s">
        <v>196</v>
      </c>
      <c r="G18" s="141">
        <v>0</v>
      </c>
      <c r="H18" s="82">
        <f>YEARFRAC(H7,G7)</f>
        <v>0.75</v>
      </c>
      <c r="I18" s="82">
        <f>YEARFRAC(I7,H7)</f>
        <v>1</v>
      </c>
      <c r="J18" s="82">
        <f t="shared" ref="J18:L18" si="2">YEARFRAC(J7,I7)</f>
        <v>1</v>
      </c>
      <c r="K18" s="82">
        <f t="shared" si="2"/>
        <v>1</v>
      </c>
      <c r="L18" s="82">
        <f t="shared" si="2"/>
        <v>1</v>
      </c>
    </row>
    <row r="19" spans="2:16" x14ac:dyDescent="0.3">
      <c r="B19" s="146"/>
      <c r="G19" s="141"/>
    </row>
    <row r="20" spans="2:16" x14ac:dyDescent="0.3">
      <c r="B20" s="145" t="s">
        <v>181</v>
      </c>
      <c r="G20" s="141">
        <v>0</v>
      </c>
      <c r="H20" s="136">
        <f>H13*H$18</f>
        <v>17346582.918290157</v>
      </c>
      <c r="I20" s="136">
        <f t="shared" ref="I20:L20" si="3">I13*I$18</f>
        <v>25811727.850367431</v>
      </c>
      <c r="J20" s="136">
        <f t="shared" si="3"/>
        <v>29380012.72028761</v>
      </c>
      <c r="K20" s="136">
        <f t="shared" si="3"/>
        <v>33366532.962448608</v>
      </c>
      <c r="L20" s="136">
        <f t="shared" si="3"/>
        <v>37752989.673745058</v>
      </c>
    </row>
    <row r="21" spans="2:16" x14ac:dyDescent="0.3">
      <c r="B21" s="145" t="s">
        <v>194</v>
      </c>
      <c r="G21" s="141">
        <v>0</v>
      </c>
      <c r="H21" s="139">
        <f>H14*H$18</f>
        <v>0</v>
      </c>
      <c r="I21" s="139">
        <f t="shared" ref="I21:K21" si="4">I14*I$18</f>
        <v>0</v>
      </c>
      <c r="J21" s="139">
        <f t="shared" si="4"/>
        <v>0</v>
      </c>
      <c r="K21" s="139">
        <f t="shared" si="4"/>
        <v>0</v>
      </c>
      <c r="L21" s="136">
        <f>L14*L$18</f>
        <v>348930527.42231607</v>
      </c>
    </row>
    <row r="22" spans="2:16" x14ac:dyDescent="0.3">
      <c r="B22" s="145" t="s">
        <v>195</v>
      </c>
      <c r="G22" s="175">
        <f t="shared" ref="G22:L22" si="5">SUM(G20:G21)</f>
        <v>0</v>
      </c>
      <c r="H22" s="150">
        <f t="shared" si="5"/>
        <v>17346582.918290157</v>
      </c>
      <c r="I22" s="150">
        <f t="shared" si="5"/>
        <v>25811727.850367431</v>
      </c>
      <c r="J22" s="150">
        <f t="shared" si="5"/>
        <v>29380012.72028761</v>
      </c>
      <c r="K22" s="150">
        <f t="shared" si="5"/>
        <v>33366532.962448608</v>
      </c>
      <c r="L22" s="150">
        <f>SUM(L20:L21)</f>
        <v>386683517.09606111</v>
      </c>
    </row>
    <row r="23" spans="2:16" x14ac:dyDescent="0.3">
      <c r="B23" s="146"/>
      <c r="G23" s="25"/>
    </row>
    <row r="24" spans="2:16" x14ac:dyDescent="0.3">
      <c r="B24" s="144" t="s">
        <v>200</v>
      </c>
      <c r="G24" s="25"/>
    </row>
    <row r="25" spans="2:16" x14ac:dyDescent="0.3">
      <c r="B25" s="146" t="s">
        <v>197</v>
      </c>
      <c r="G25" s="141">
        <v>0</v>
      </c>
      <c r="H25" s="74">
        <f>G25+YEARFRAC(G8,H8)</f>
        <v>0.25</v>
      </c>
      <c r="I25" s="74">
        <f t="shared" ref="I25:K25" si="6">H25+YEARFRAC(H8,I8)</f>
        <v>1.25</v>
      </c>
      <c r="J25" s="74">
        <f t="shared" si="6"/>
        <v>2.25</v>
      </c>
      <c r="K25" s="74">
        <f t="shared" si="6"/>
        <v>3.5</v>
      </c>
      <c r="L25" s="74">
        <f>K25+YEARFRAC(K8,L8)</f>
        <v>4.5</v>
      </c>
    </row>
    <row r="26" spans="2:16" x14ac:dyDescent="0.3">
      <c r="B26" s="146"/>
      <c r="G26" s="141"/>
    </row>
    <row r="27" spans="2:16" x14ac:dyDescent="0.3">
      <c r="B27" s="145" t="s">
        <v>181</v>
      </c>
      <c r="G27" s="141">
        <v>0</v>
      </c>
      <c r="H27" s="136">
        <f t="shared" ref="H27:L28" si="7">H20/(1+$P$8)^H$25</f>
        <v>16818026.367852326</v>
      </c>
      <c r="I27" s="136">
        <f t="shared" si="7"/>
        <v>22111720.725403879</v>
      </c>
      <c r="J27" s="136">
        <f t="shared" si="7"/>
        <v>22238311.695619065</v>
      </c>
      <c r="K27" s="136">
        <f t="shared" si="7"/>
        <v>21635472.247380637</v>
      </c>
      <c r="L27" s="136">
        <f t="shared" si="7"/>
        <v>21629725.926098865</v>
      </c>
    </row>
    <row r="28" spans="2:16" x14ac:dyDescent="0.3">
      <c r="B28" s="145" t="s">
        <v>194</v>
      </c>
      <c r="G28" s="141">
        <v>0</v>
      </c>
      <c r="H28" s="142">
        <f t="shared" si="7"/>
        <v>0</v>
      </c>
      <c r="I28" s="142">
        <f t="shared" si="7"/>
        <v>0</v>
      </c>
      <c r="J28" s="142">
        <f t="shared" si="7"/>
        <v>0</v>
      </c>
      <c r="K28" s="142">
        <f t="shared" si="7"/>
        <v>0</v>
      </c>
      <c r="L28" s="136">
        <f>L21/(1+$P$8)^L$25</f>
        <v>199911894.14708781</v>
      </c>
      <c r="M28" s="136"/>
      <c r="N28" s="136"/>
      <c r="O28" s="136"/>
      <c r="P28" s="136"/>
    </row>
    <row r="29" spans="2:16" x14ac:dyDescent="0.3">
      <c r="B29" s="145" t="s">
        <v>195</v>
      </c>
      <c r="G29" s="175">
        <f t="shared" ref="G29:J29" si="8">SUM(G27:G28)</f>
        <v>0</v>
      </c>
      <c r="H29" s="150">
        <f>SUM(H27:H28)</f>
        <v>16818026.367852326</v>
      </c>
      <c r="I29" s="150">
        <f t="shared" si="8"/>
        <v>22111720.725403879</v>
      </c>
      <c r="J29" s="150">
        <f t="shared" si="8"/>
        <v>22238311.695619065</v>
      </c>
      <c r="K29" s="150">
        <f>SUM(K27:K28)</f>
        <v>21635472.247380637</v>
      </c>
      <c r="L29" s="150">
        <f>SUM(L27:L28)</f>
        <v>221541620.07318667</v>
      </c>
      <c r="N29" s="136"/>
    </row>
    <row r="32" spans="2:16" ht="15" thickBot="1" x14ac:dyDescent="0.35">
      <c r="B32" s="84" t="s">
        <v>201</v>
      </c>
      <c r="C32" s="147"/>
      <c r="D32" s="147"/>
      <c r="E32" s="147"/>
      <c r="F32" s="147"/>
      <c r="H32" s="84" t="s">
        <v>201</v>
      </c>
      <c r="I32" s="147"/>
      <c r="J32" s="147"/>
      <c r="K32" s="147"/>
      <c r="L32" s="147"/>
    </row>
    <row r="33" spans="2:16" x14ac:dyDescent="0.3">
      <c r="E33" s="149"/>
      <c r="F33" s="149"/>
      <c r="N33" s="136"/>
    </row>
    <row r="34" spans="2:16" x14ac:dyDescent="0.3">
      <c r="B34" s="72" t="s">
        <v>204</v>
      </c>
      <c r="E34" s="378">
        <f>SUM(H29:L29)</f>
        <v>304345151.10944259</v>
      </c>
      <c r="F34" s="378"/>
      <c r="H34" s="72" t="s">
        <v>207</v>
      </c>
      <c r="L34" s="136">
        <f>SUM(H27:L27)</f>
        <v>104433256.96235476</v>
      </c>
    </row>
    <row r="35" spans="2:16" x14ac:dyDescent="0.3">
      <c r="B35" s="72" t="s">
        <v>205</v>
      </c>
      <c r="E35" s="378">
        <f>XNPV(P8,G22:L22,G8:L8)</f>
        <v>304211632.61926532</v>
      </c>
      <c r="F35" s="378"/>
      <c r="H35" s="72" t="s">
        <v>208</v>
      </c>
      <c r="L35" s="139">
        <f>SUM(H28:L28)</f>
        <v>199911894.14708781</v>
      </c>
      <c r="N35" s="178">
        <f>E35</f>
        <v>304211632.61926532</v>
      </c>
    </row>
    <row r="36" spans="2:16" x14ac:dyDescent="0.3">
      <c r="F36" s="136"/>
      <c r="H36" s="72" t="s">
        <v>206</v>
      </c>
      <c r="L36" s="150">
        <f>SUM(L34:L35)</f>
        <v>304345151.10944259</v>
      </c>
    </row>
    <row r="38" spans="2:16" ht="15" thickBot="1" x14ac:dyDescent="0.35">
      <c r="B38" s="148" t="s">
        <v>202</v>
      </c>
      <c r="C38" s="147"/>
      <c r="D38" s="147"/>
      <c r="E38" s="147"/>
      <c r="F38" s="147"/>
      <c r="H38" s="84" t="s">
        <v>203</v>
      </c>
      <c r="I38" s="147"/>
      <c r="J38" s="147"/>
      <c r="K38" s="147"/>
      <c r="L38" s="147"/>
    </row>
    <row r="40" spans="2:16" x14ac:dyDescent="0.3">
      <c r="B40" s="72" t="s">
        <v>206</v>
      </c>
      <c r="E40" s="373">
        <f>E35</f>
        <v>304211632.61926532</v>
      </c>
      <c r="F40" s="374"/>
      <c r="H40" s="72" t="s">
        <v>210</v>
      </c>
      <c r="J40" s="153" t="s">
        <v>216</v>
      </c>
      <c r="L40" s="136">
        <f>E42</f>
        <v>295647899.61926532</v>
      </c>
    </row>
    <row r="41" spans="2:16" x14ac:dyDescent="0.3">
      <c r="B41" s="72" t="s">
        <v>209</v>
      </c>
      <c r="E41" s="375">
        <f>-'DCF Inputs'!E60</f>
        <v>-8563733</v>
      </c>
      <c r="F41" s="375"/>
      <c r="H41" s="72" t="s">
        <v>214</v>
      </c>
      <c r="J41" s="153" t="s">
        <v>217</v>
      </c>
      <c r="L41" s="136">
        <f>'DCF Inputs'!J28</f>
        <v>509738</v>
      </c>
    </row>
    <row r="42" spans="2:16" x14ac:dyDescent="0.3">
      <c r="B42" s="72" t="s">
        <v>210</v>
      </c>
      <c r="E42" s="376">
        <f>SUM(E40:F41)</f>
        <v>295647899.61926532</v>
      </c>
      <c r="F42" s="377"/>
      <c r="H42" s="72" t="s">
        <v>215</v>
      </c>
      <c r="J42" s="153" t="s">
        <v>230</v>
      </c>
      <c r="L42" s="140">
        <f>L40/L41</f>
        <v>579.99972460217862</v>
      </c>
    </row>
    <row r="45" spans="2:16" ht="14.4" customHeight="1" x14ac:dyDescent="0.3">
      <c r="B45" s="296" t="s">
        <v>178</v>
      </c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</row>
    <row r="46" spans="2:16" ht="15" customHeight="1" x14ac:dyDescent="0.3"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</row>
    <row r="48" spans="2:16" ht="15" customHeight="1" x14ac:dyDescent="0.3">
      <c r="E48" s="393"/>
      <c r="F48" s="394"/>
      <c r="G48" s="371" t="s">
        <v>180</v>
      </c>
      <c r="H48" s="371" t="s">
        <v>181</v>
      </c>
      <c r="I48" s="371"/>
      <c r="J48" s="371"/>
      <c r="K48" s="371"/>
      <c r="L48" s="371"/>
      <c r="M48" s="371" t="s">
        <v>191</v>
      </c>
      <c r="O48" s="379" t="s">
        <v>232</v>
      </c>
      <c r="P48" s="400">
        <f>'DCF Outputs'!F40</f>
        <v>9.5</v>
      </c>
    </row>
    <row r="49" spans="2:16" x14ac:dyDescent="0.3">
      <c r="E49" s="395"/>
      <c r="F49" s="396"/>
      <c r="G49" s="383"/>
      <c r="H49" s="383"/>
      <c r="I49" s="383"/>
      <c r="J49" s="383"/>
      <c r="K49" s="383"/>
      <c r="L49" s="383"/>
      <c r="M49" s="383"/>
      <c r="O49" s="379"/>
      <c r="P49" s="400"/>
    </row>
    <row r="50" spans="2:16" x14ac:dyDescent="0.3">
      <c r="E50" s="399" t="s">
        <v>185</v>
      </c>
      <c r="F50" s="399"/>
      <c r="G50" s="124">
        <v>46477</v>
      </c>
      <c r="H50" s="124">
        <v>46752</v>
      </c>
      <c r="I50" s="124">
        <v>47118</v>
      </c>
      <c r="J50" s="124">
        <v>47483</v>
      </c>
      <c r="K50" s="124">
        <v>47848</v>
      </c>
      <c r="L50" s="124">
        <v>48213</v>
      </c>
      <c r="M50" s="124">
        <v>48579</v>
      </c>
    </row>
    <row r="51" spans="2:16" x14ac:dyDescent="0.3">
      <c r="E51" s="399" t="s">
        <v>186</v>
      </c>
      <c r="F51" s="399"/>
      <c r="G51" s="124">
        <v>46477</v>
      </c>
      <c r="H51" s="124">
        <v>46568</v>
      </c>
      <c r="I51" s="124">
        <v>46842</v>
      </c>
      <c r="J51" s="124">
        <v>47299</v>
      </c>
      <c r="K51" s="124">
        <v>47756</v>
      </c>
      <c r="L51" s="124">
        <v>48121</v>
      </c>
      <c r="M51" s="124">
        <v>48487</v>
      </c>
      <c r="O51" s="382" t="s">
        <v>182</v>
      </c>
      <c r="P51" s="380">
        <f>'DCF Outputs'!F41</f>
        <v>0.13176335908864095</v>
      </c>
    </row>
    <row r="52" spans="2:16" x14ac:dyDescent="0.3">
      <c r="O52" s="382"/>
      <c r="P52" s="380"/>
    </row>
    <row r="53" spans="2:16" x14ac:dyDescent="0.3">
      <c r="B53" s="143" t="s">
        <v>184</v>
      </c>
      <c r="G53" s="162">
        <v>0</v>
      </c>
      <c r="H53" s="150">
        <f>H10</f>
        <v>23128777.224386875</v>
      </c>
      <c r="I53" s="150">
        <f t="shared" ref="I53:M53" si="9">I10</f>
        <v>25811727.850367431</v>
      </c>
      <c r="J53" s="150">
        <f t="shared" si="9"/>
        <v>29380012.72028761</v>
      </c>
      <c r="K53" s="150">
        <f t="shared" si="9"/>
        <v>33366532.962448608</v>
      </c>
      <c r="L53" s="150">
        <f t="shared" si="9"/>
        <v>37752989.673745058</v>
      </c>
      <c r="M53" s="164">
        <f t="shared" si="9"/>
        <v>42486953.107512355</v>
      </c>
    </row>
    <row r="54" spans="2:16" x14ac:dyDescent="0.3">
      <c r="B54" s="3" t="s">
        <v>231</v>
      </c>
      <c r="G54" s="163"/>
      <c r="H54" s="118"/>
      <c r="I54" s="118"/>
      <c r="J54" s="118"/>
      <c r="K54" s="118"/>
      <c r="L54" s="118"/>
      <c r="M54" s="165">
        <f>'DCF Inputs'!J48</f>
        <v>38227524.045306496</v>
      </c>
      <c r="O54" s="379" t="s">
        <v>233</v>
      </c>
      <c r="P54" s="401">
        <f>YEARFRAC(M51,M50)</f>
        <v>0.25</v>
      </c>
    </row>
    <row r="55" spans="2:16" x14ac:dyDescent="0.3">
      <c r="O55" s="379"/>
      <c r="P55" s="401"/>
    </row>
    <row r="56" spans="2:16" x14ac:dyDescent="0.3">
      <c r="B56" s="144" t="s">
        <v>198</v>
      </c>
    </row>
    <row r="57" spans="2:16" ht="15" x14ac:dyDescent="0.35">
      <c r="B57" s="145" t="s">
        <v>181</v>
      </c>
      <c r="G57" s="166">
        <v>0</v>
      </c>
      <c r="H57" s="167">
        <f>H53</f>
        <v>23128777.224386875</v>
      </c>
      <c r="I57" s="167">
        <f>I53</f>
        <v>25811727.850367431</v>
      </c>
      <c r="J57" s="167">
        <f t="shared" ref="H57:L57" si="10">J53</f>
        <v>29380012.72028761</v>
      </c>
      <c r="K57" s="167">
        <f t="shared" si="10"/>
        <v>33366532.962448608</v>
      </c>
      <c r="L57" s="167">
        <f t="shared" si="10"/>
        <v>37752989.673745058</v>
      </c>
      <c r="M57" s="167">
        <f>M53</f>
        <v>42486953.107512355</v>
      </c>
    </row>
    <row r="58" spans="2:16" ht="15" x14ac:dyDescent="0.35">
      <c r="B58" s="145" t="s">
        <v>194</v>
      </c>
      <c r="G58" s="166">
        <v>0</v>
      </c>
      <c r="H58" s="166">
        <v>0</v>
      </c>
      <c r="I58" s="166">
        <v>0</v>
      </c>
      <c r="J58" s="166">
        <v>0</v>
      </c>
      <c r="K58" s="166">
        <v>0</v>
      </c>
      <c r="L58" s="166">
        <v>0</v>
      </c>
      <c r="M58" s="167">
        <f>(M54*P48)/(1+P51)^P54</f>
        <v>352095819.03252023</v>
      </c>
    </row>
    <row r="59" spans="2:16" ht="15" x14ac:dyDescent="0.35">
      <c r="B59" s="145" t="s">
        <v>195</v>
      </c>
      <c r="G59" s="174">
        <f>SUM(G57:G58)</f>
        <v>0</v>
      </c>
      <c r="H59" s="174">
        <f>SUM(H57:H58)</f>
        <v>23128777.224386875</v>
      </c>
      <c r="I59" s="174">
        <f t="shared" ref="I59:L59" si="11">SUM(I57:I58)</f>
        <v>25811727.850367431</v>
      </c>
      <c r="J59" s="174">
        <f t="shared" si="11"/>
        <v>29380012.72028761</v>
      </c>
      <c r="K59" s="174">
        <f t="shared" si="11"/>
        <v>33366532.962448608</v>
      </c>
      <c r="L59" s="174">
        <f t="shared" si="11"/>
        <v>37752989.673745058</v>
      </c>
      <c r="M59" s="174">
        <f>SUM(M57:M58)</f>
        <v>394582772.14003259</v>
      </c>
    </row>
    <row r="60" spans="2:16" ht="15.6" x14ac:dyDescent="0.35">
      <c r="B60" s="144"/>
      <c r="G60" s="168"/>
      <c r="H60" s="168"/>
      <c r="I60" s="168"/>
      <c r="J60" s="168"/>
      <c r="K60" s="168"/>
      <c r="L60" s="86"/>
      <c r="M60" s="86"/>
    </row>
    <row r="61" spans="2:16" ht="15" x14ac:dyDescent="0.35">
      <c r="B61" s="144" t="s">
        <v>199</v>
      </c>
      <c r="G61" s="166"/>
      <c r="H61" s="169"/>
      <c r="I61" s="169"/>
      <c r="J61" s="169"/>
      <c r="K61" s="169"/>
      <c r="L61" s="169"/>
      <c r="M61" s="169"/>
    </row>
    <row r="62" spans="2:16" ht="15" x14ac:dyDescent="0.35">
      <c r="B62" s="146" t="s">
        <v>196</v>
      </c>
      <c r="G62" s="166">
        <v>0</v>
      </c>
      <c r="H62" s="169">
        <f>YEARFRAC(H50,G50)</f>
        <v>0.75</v>
      </c>
      <c r="I62" s="169">
        <f t="shared" ref="I62:M62" si="12">YEARFRAC(I50,H50)</f>
        <v>1</v>
      </c>
      <c r="J62" s="169">
        <f t="shared" si="12"/>
        <v>1</v>
      </c>
      <c r="K62" s="169">
        <f t="shared" si="12"/>
        <v>1</v>
      </c>
      <c r="L62" s="169">
        <f t="shared" si="12"/>
        <v>1</v>
      </c>
      <c r="M62" s="169">
        <f t="shared" si="12"/>
        <v>1</v>
      </c>
    </row>
    <row r="63" spans="2:16" ht="15" x14ac:dyDescent="0.35">
      <c r="B63" s="146"/>
      <c r="G63" s="166"/>
      <c r="H63" s="169"/>
      <c r="I63" s="169"/>
      <c r="J63" s="169"/>
      <c r="K63" s="169"/>
      <c r="L63" s="169"/>
      <c r="M63" s="169"/>
    </row>
    <row r="64" spans="2:16" ht="15" x14ac:dyDescent="0.35">
      <c r="B64" s="145" t="s">
        <v>181</v>
      </c>
      <c r="G64" s="166">
        <v>0</v>
      </c>
      <c r="H64" s="167">
        <f>H57*H$62</f>
        <v>17346582.918290157</v>
      </c>
      <c r="I64" s="167">
        <f t="shared" ref="I64:M64" si="13">I57*I$62</f>
        <v>25811727.850367431</v>
      </c>
      <c r="J64" s="167">
        <f t="shared" si="13"/>
        <v>29380012.72028761</v>
      </c>
      <c r="K64" s="167">
        <f t="shared" si="13"/>
        <v>33366532.962448608</v>
      </c>
      <c r="L64" s="167">
        <f t="shared" si="13"/>
        <v>37752989.673745058</v>
      </c>
      <c r="M64" s="167">
        <f t="shared" si="13"/>
        <v>42486953.107512355</v>
      </c>
    </row>
    <row r="65" spans="2:13" ht="15" x14ac:dyDescent="0.35">
      <c r="B65" s="145" t="s">
        <v>194</v>
      </c>
      <c r="G65" s="166">
        <v>0</v>
      </c>
      <c r="H65" s="167">
        <f>H58*H$62</f>
        <v>0</v>
      </c>
      <c r="I65" s="167">
        <f t="shared" ref="I65:L65" si="14">I58*I$62</f>
        <v>0</v>
      </c>
      <c r="J65" s="167">
        <f t="shared" si="14"/>
        <v>0</v>
      </c>
      <c r="K65" s="167">
        <f t="shared" si="14"/>
        <v>0</v>
      </c>
      <c r="L65" s="167">
        <f t="shared" si="14"/>
        <v>0</v>
      </c>
      <c r="M65" s="167">
        <f>M58*M$62</f>
        <v>352095819.03252023</v>
      </c>
    </row>
    <row r="66" spans="2:13" ht="15" x14ac:dyDescent="0.35">
      <c r="B66" s="145" t="s">
        <v>195</v>
      </c>
      <c r="G66" s="174">
        <f t="shared" ref="G66" si="15">SUM(G64:G65)</f>
        <v>0</v>
      </c>
      <c r="H66" s="174">
        <f t="shared" ref="H66:M66" si="16">SUM(H64:H65)</f>
        <v>17346582.918290157</v>
      </c>
      <c r="I66" s="174">
        <f t="shared" si="16"/>
        <v>25811727.850367431</v>
      </c>
      <c r="J66" s="174">
        <f t="shared" si="16"/>
        <v>29380012.72028761</v>
      </c>
      <c r="K66" s="174">
        <f t="shared" si="16"/>
        <v>33366532.962448608</v>
      </c>
      <c r="L66" s="174">
        <f t="shared" si="16"/>
        <v>37752989.673745058</v>
      </c>
      <c r="M66" s="174">
        <f t="shared" si="16"/>
        <v>394582772.14003259</v>
      </c>
    </row>
    <row r="67" spans="2:13" ht="15" x14ac:dyDescent="0.35">
      <c r="B67" s="146"/>
      <c r="G67" s="166"/>
      <c r="H67" s="169"/>
      <c r="I67" s="169"/>
      <c r="J67" s="169"/>
      <c r="K67" s="169"/>
      <c r="L67" s="169"/>
      <c r="M67" s="169"/>
    </row>
    <row r="68" spans="2:13" ht="15" x14ac:dyDescent="0.35">
      <c r="B68" s="144" t="s">
        <v>200</v>
      </c>
      <c r="G68" s="166"/>
      <c r="H68" s="169"/>
      <c r="I68" s="169"/>
      <c r="J68" s="169"/>
      <c r="K68" s="169"/>
      <c r="L68" s="169"/>
      <c r="M68" s="169"/>
    </row>
    <row r="69" spans="2:13" ht="15" x14ac:dyDescent="0.35">
      <c r="B69" s="146" t="s">
        <v>197</v>
      </c>
      <c r="G69" s="170">
        <v>0</v>
      </c>
      <c r="H69" s="171">
        <f>G69+YEARFRAC(G51,H51)</f>
        <v>0.25</v>
      </c>
      <c r="I69" s="171">
        <f t="shared" ref="H69:M69" si="17">H69+YEARFRAC(H51,I51)</f>
        <v>1</v>
      </c>
      <c r="J69" s="171">
        <f t="shared" si="17"/>
        <v>2.25</v>
      </c>
      <c r="K69" s="171">
        <f t="shared" si="17"/>
        <v>3.5</v>
      </c>
      <c r="L69" s="171">
        <f t="shared" si="17"/>
        <v>4.5</v>
      </c>
      <c r="M69" s="171">
        <f t="shared" si="17"/>
        <v>5.5</v>
      </c>
    </row>
    <row r="70" spans="2:13" ht="15" x14ac:dyDescent="0.35">
      <c r="B70" s="146"/>
      <c r="G70" s="170"/>
      <c r="H70" s="171"/>
      <c r="I70" s="171"/>
      <c r="J70" s="171"/>
      <c r="K70" s="171"/>
      <c r="L70" s="171"/>
      <c r="M70" s="171"/>
    </row>
    <row r="71" spans="2:13" ht="15" x14ac:dyDescent="0.35">
      <c r="B71" s="145" t="s">
        <v>181</v>
      </c>
      <c r="G71" s="172">
        <v>0</v>
      </c>
      <c r="H71" s="173">
        <f t="shared" ref="H71:M72" si="18">H64/(1+$P$51)^H$69</f>
        <v>16818026.367852326</v>
      </c>
      <c r="I71" s="173">
        <f t="shared" si="18"/>
        <v>22806647.381792318</v>
      </c>
      <c r="J71" s="173">
        <f t="shared" si="18"/>
        <v>22238311.695619065</v>
      </c>
      <c r="K71" s="173">
        <f t="shared" si="18"/>
        <v>21635472.247380637</v>
      </c>
      <c r="L71" s="173">
        <f t="shared" si="18"/>
        <v>21629725.926098865</v>
      </c>
      <c r="M71" s="173">
        <f t="shared" si="18"/>
        <v>21507980.053996205</v>
      </c>
    </row>
    <row r="72" spans="2:13" ht="15" x14ac:dyDescent="0.35">
      <c r="B72" s="145" t="s">
        <v>194</v>
      </c>
      <c r="G72" s="172">
        <v>0</v>
      </c>
      <c r="H72" s="173">
        <f t="shared" si="18"/>
        <v>0</v>
      </c>
      <c r="I72" s="173">
        <f t="shared" si="18"/>
        <v>0</v>
      </c>
      <c r="J72" s="173">
        <f t="shared" si="18"/>
        <v>0</v>
      </c>
      <c r="K72" s="173">
        <f t="shared" si="18"/>
        <v>0</v>
      </c>
      <c r="L72" s="173">
        <f t="shared" si="18"/>
        <v>0</v>
      </c>
      <c r="M72" s="173">
        <f>M65/(1+$P$51)^M$69</f>
        <v>178239890.10659137</v>
      </c>
    </row>
    <row r="73" spans="2:13" ht="15" x14ac:dyDescent="0.35">
      <c r="B73" s="145" t="s">
        <v>195</v>
      </c>
      <c r="G73" s="174">
        <f t="shared" ref="G73:M73" si="19">SUM(G71:G72)</f>
        <v>0</v>
      </c>
      <c r="H73" s="174">
        <f>SUM(H71:H72)</f>
        <v>16818026.367852326</v>
      </c>
      <c r="I73" s="174">
        <f t="shared" si="19"/>
        <v>22806647.381792318</v>
      </c>
      <c r="J73" s="174">
        <f t="shared" si="19"/>
        <v>22238311.695619065</v>
      </c>
      <c r="K73" s="174">
        <f t="shared" si="19"/>
        <v>21635472.247380637</v>
      </c>
      <c r="L73" s="174">
        <f t="shared" si="19"/>
        <v>21629725.926098865</v>
      </c>
      <c r="M73" s="174">
        <f t="shared" si="19"/>
        <v>199747870.16058758</v>
      </c>
    </row>
    <row r="74" spans="2:13" ht="15" x14ac:dyDescent="0.35">
      <c r="B74" s="145"/>
      <c r="G74" s="167"/>
      <c r="H74" s="167"/>
      <c r="I74" s="167"/>
      <c r="J74" s="167"/>
      <c r="K74" s="167"/>
      <c r="L74" s="167"/>
      <c r="M74" s="167"/>
    </row>
    <row r="76" spans="2:13" ht="15" thickBot="1" x14ac:dyDescent="0.35">
      <c r="B76" s="84" t="s">
        <v>201</v>
      </c>
      <c r="C76" s="147"/>
      <c r="D76" s="147"/>
      <c r="E76" s="147"/>
      <c r="F76" s="147"/>
      <c r="H76" s="84" t="s">
        <v>201</v>
      </c>
      <c r="I76" s="147"/>
      <c r="J76" s="147"/>
      <c r="K76" s="147"/>
      <c r="L76" s="147"/>
    </row>
    <row r="77" spans="2:13" x14ac:dyDescent="0.3">
      <c r="E77" s="149"/>
      <c r="F77" s="149"/>
    </row>
    <row r="78" spans="2:13" x14ac:dyDescent="0.3">
      <c r="B78" s="72" t="s">
        <v>204</v>
      </c>
      <c r="E78" s="378">
        <f>SUM(H73:M73)</f>
        <v>304876053.77933079</v>
      </c>
      <c r="F78" s="402"/>
      <c r="H78" s="72" t="s">
        <v>207</v>
      </c>
      <c r="L78" s="136">
        <f>SUM(H71:M71)</f>
        <v>126636163.67273943</v>
      </c>
    </row>
    <row r="79" spans="2:13" x14ac:dyDescent="0.3">
      <c r="B79" s="72" t="s">
        <v>205</v>
      </c>
      <c r="E79" s="378">
        <f>XNPV(P51,G66:M66,G51:M51)</f>
        <v>304680550.25809681</v>
      </c>
      <c r="F79" s="402"/>
      <c r="H79" s="72" t="s">
        <v>208</v>
      </c>
      <c r="L79" s="139">
        <f>SUM(H72:M72)</f>
        <v>178239890.10659137</v>
      </c>
    </row>
    <row r="80" spans="2:13" x14ac:dyDescent="0.3">
      <c r="H80" s="72" t="s">
        <v>206</v>
      </c>
      <c r="L80" s="150">
        <f>SUM(L78:L79)</f>
        <v>304876053.77933079</v>
      </c>
    </row>
    <row r="82" spans="2:14" ht="15" thickBot="1" x14ac:dyDescent="0.35">
      <c r="B82" s="148" t="s">
        <v>202</v>
      </c>
      <c r="C82" s="147"/>
      <c r="D82" s="147"/>
      <c r="E82" s="147"/>
      <c r="F82" s="147"/>
      <c r="H82" s="84" t="s">
        <v>203</v>
      </c>
      <c r="I82" s="147"/>
      <c r="J82" s="147"/>
      <c r="K82" s="147"/>
      <c r="L82" s="147"/>
    </row>
    <row r="84" spans="2:14" x14ac:dyDescent="0.3">
      <c r="B84" s="72" t="s">
        <v>206</v>
      </c>
      <c r="E84" s="373">
        <f>E79</f>
        <v>304680550.25809681</v>
      </c>
      <c r="F84" s="374"/>
      <c r="H84" s="72" t="s">
        <v>210</v>
      </c>
      <c r="J84" s="153" t="s">
        <v>216</v>
      </c>
      <c r="L84" s="136">
        <f>E86</f>
        <v>296116817.25809681</v>
      </c>
      <c r="N84" s="178">
        <f>E84</f>
        <v>304680550.25809681</v>
      </c>
    </row>
    <row r="85" spans="2:14" x14ac:dyDescent="0.3">
      <c r="B85" s="72" t="s">
        <v>209</v>
      </c>
      <c r="E85" s="375">
        <f>-'DCF Inputs'!E60</f>
        <v>-8563733</v>
      </c>
      <c r="F85" s="375"/>
      <c r="H85" s="72" t="s">
        <v>214</v>
      </c>
      <c r="J85" s="153" t="s">
        <v>217</v>
      </c>
      <c r="L85" s="136">
        <f>'DCF Inputs'!E68</f>
        <v>509738</v>
      </c>
    </row>
    <row r="86" spans="2:14" x14ac:dyDescent="0.3">
      <c r="B86" s="72" t="s">
        <v>210</v>
      </c>
      <c r="E86" s="376">
        <f>SUM(E84:F85)</f>
        <v>296116817.25809681</v>
      </c>
      <c r="F86" s="377"/>
      <c r="H86" s="72" t="s">
        <v>215</v>
      </c>
      <c r="J86" s="153" t="s">
        <v>230</v>
      </c>
      <c r="L86" s="140">
        <f>L84/L85</f>
        <v>580.91964353863511</v>
      </c>
    </row>
  </sheetData>
  <mergeCells count="35">
    <mergeCell ref="E86:F86"/>
    <mergeCell ref="O54:O55"/>
    <mergeCell ref="P54:P55"/>
    <mergeCell ref="E78:F78"/>
    <mergeCell ref="E79:F79"/>
    <mergeCell ref="E84:F84"/>
    <mergeCell ref="E85:F85"/>
    <mergeCell ref="E5:F6"/>
    <mergeCell ref="E50:F50"/>
    <mergeCell ref="E51:F51"/>
    <mergeCell ref="O48:O49"/>
    <mergeCell ref="P48:P49"/>
    <mergeCell ref="O51:O52"/>
    <mergeCell ref="P51:P52"/>
    <mergeCell ref="B45:P46"/>
    <mergeCell ref="G48:G49"/>
    <mergeCell ref="H48:L49"/>
    <mergeCell ref="M48:M49"/>
    <mergeCell ref="E48:F49"/>
    <mergeCell ref="B2:P3"/>
    <mergeCell ref="B5:D6"/>
    <mergeCell ref="E40:F40"/>
    <mergeCell ref="E41:F41"/>
    <mergeCell ref="E42:F42"/>
    <mergeCell ref="E35:F35"/>
    <mergeCell ref="O5:O6"/>
    <mergeCell ref="P8:P9"/>
    <mergeCell ref="P5:P6"/>
    <mergeCell ref="O8:O9"/>
    <mergeCell ref="G5:G6"/>
    <mergeCell ref="H5:L6"/>
    <mergeCell ref="E34:F34"/>
    <mergeCell ref="E7:F7"/>
    <mergeCell ref="E8:F8"/>
    <mergeCell ref="M5:M6"/>
  </mergeCells>
  <pageMargins left="0.7" right="0.7" top="0.75" bottom="0.75" header="0.3" footer="0.3"/>
  <ignoredErrors>
    <ignoredError sqref="E35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8FBB1-1B0E-4C3F-879D-A8B477190E38}">
  <dimension ref="A2:R65"/>
  <sheetViews>
    <sheetView showGridLines="0" workbookViewId="0">
      <selection activeCell="F12" sqref="F12"/>
    </sheetView>
  </sheetViews>
  <sheetFormatPr defaultRowHeight="14.4" x14ac:dyDescent="0.3"/>
  <cols>
    <col min="1" max="1" width="3.21875" style="181" customWidth="1"/>
    <col min="2" max="2" width="3.5546875" style="181" customWidth="1"/>
    <col min="3" max="3" width="10.77734375" style="181" customWidth="1"/>
    <col min="4" max="10" width="13.77734375" style="181" customWidth="1"/>
    <col min="11" max="11" width="4.109375" style="181" customWidth="1"/>
    <col min="12" max="12" width="10.77734375" style="181" customWidth="1"/>
    <col min="13" max="15" width="13.77734375" style="181" customWidth="1"/>
    <col min="16" max="17" width="13.77734375" customWidth="1"/>
    <col min="18" max="18" width="6.21875" customWidth="1"/>
  </cols>
  <sheetData>
    <row r="2" spans="2:18" ht="14.4" customHeight="1" x14ac:dyDescent="0.3">
      <c r="B2" s="296" t="s">
        <v>234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</row>
    <row r="3" spans="2:18" ht="15" customHeight="1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</row>
    <row r="5" spans="2:18" ht="15" thickBot="1" x14ac:dyDescent="0.35">
      <c r="B5" s="182" t="s">
        <v>86</v>
      </c>
      <c r="C5" s="182"/>
      <c r="D5" s="182"/>
      <c r="E5" s="182"/>
      <c r="F5" s="182"/>
    </row>
    <row r="6" spans="2:18" x14ac:dyDescent="0.3">
      <c r="B6" s="407"/>
      <c r="C6" s="407"/>
      <c r="G6"/>
    </row>
    <row r="7" spans="2:18" x14ac:dyDescent="0.3">
      <c r="B7" s="404" t="s">
        <v>225</v>
      </c>
      <c r="C7" s="404"/>
      <c r="D7" s="404"/>
      <c r="F7" s="183">
        <f>'DCF Inputs'!E70</f>
        <v>0.01</v>
      </c>
      <c r="G7"/>
    </row>
    <row r="8" spans="2:18" x14ac:dyDescent="0.3">
      <c r="B8" s="404" t="s">
        <v>182</v>
      </c>
      <c r="C8" s="404"/>
      <c r="D8" s="404"/>
      <c r="F8" s="184">
        <f>'DCF Inputs'!J39</f>
        <v>0.13176335908864095</v>
      </c>
    </row>
    <row r="9" spans="2:18" x14ac:dyDescent="0.3">
      <c r="B9" s="404" t="s">
        <v>238</v>
      </c>
      <c r="C9" s="404"/>
      <c r="D9" s="404"/>
      <c r="F9" s="185">
        <f>'DCF Inputs'!E60</f>
        <v>8563733</v>
      </c>
    </row>
    <row r="10" spans="2:18" x14ac:dyDescent="0.3">
      <c r="B10" s="404" t="s">
        <v>214</v>
      </c>
      <c r="C10" s="404"/>
      <c r="D10" s="404"/>
      <c r="E10" s="152" t="s">
        <v>217</v>
      </c>
      <c r="F10" s="185">
        <f>'DCF Inputs'!E68</f>
        <v>509738</v>
      </c>
    </row>
    <row r="11" spans="2:18" x14ac:dyDescent="0.3">
      <c r="B11" s="405" t="s">
        <v>239</v>
      </c>
      <c r="C11" s="405"/>
      <c r="D11" s="405"/>
      <c r="E11" s="152" t="s">
        <v>230</v>
      </c>
      <c r="F11" s="419">
        <f>'DCF Inputs'!E69</f>
        <v>579.99972539999999</v>
      </c>
    </row>
    <row r="12" spans="2:18" x14ac:dyDescent="0.3">
      <c r="B12" s="407"/>
      <c r="C12" s="407"/>
      <c r="D12" s="213"/>
      <c r="E12" s="214"/>
      <c r="F12" s="215"/>
    </row>
    <row r="13" spans="2:18" x14ac:dyDescent="0.3">
      <c r="O13" s="185"/>
    </row>
    <row r="14" spans="2:18" ht="15" thickBot="1" x14ac:dyDescent="0.35">
      <c r="B14" s="406" t="s">
        <v>237</v>
      </c>
      <c r="C14" s="406"/>
      <c r="D14" s="182"/>
      <c r="E14" s="182"/>
      <c r="F14" s="182"/>
      <c r="G14" s="182"/>
      <c r="H14" s="182"/>
      <c r="I14"/>
      <c r="K14" s="148" t="s">
        <v>203</v>
      </c>
      <c r="L14" s="148"/>
      <c r="M14" s="148"/>
      <c r="N14" s="182"/>
      <c r="O14" s="182"/>
      <c r="P14" s="182"/>
      <c r="Q14" s="182"/>
    </row>
    <row r="16" spans="2:18" ht="15.6" customHeight="1" x14ac:dyDescent="0.3">
      <c r="B16" s="186"/>
      <c r="C16" s="187"/>
      <c r="D16" s="191" t="s">
        <v>225</v>
      </c>
      <c r="E16" s="190"/>
      <c r="F16" s="188"/>
      <c r="G16" s="190"/>
      <c r="H16" s="188"/>
      <c r="K16" s="186"/>
      <c r="L16" s="187"/>
      <c r="M16" s="191" t="s">
        <v>225</v>
      </c>
      <c r="N16" s="190"/>
      <c r="O16" s="188"/>
      <c r="P16" s="190"/>
      <c r="Q16" s="188"/>
    </row>
    <row r="17" spans="2:17" x14ac:dyDescent="0.3">
      <c r="C17" s="189">
        <f>'DCF Model'!N35</f>
        <v>304211632.61926532</v>
      </c>
      <c r="D17" s="192">
        <f>E17-0.005</f>
        <v>0</v>
      </c>
      <c r="E17" s="192">
        <f>F17-0.005</f>
        <v>5.0000000000000001E-3</v>
      </c>
      <c r="F17" s="192">
        <f>'DCF Inputs'!E70</f>
        <v>0.01</v>
      </c>
      <c r="G17" s="192">
        <f>F17+0.005</f>
        <v>1.4999999999999999E-2</v>
      </c>
      <c r="H17" s="192">
        <f>G17+0.005</f>
        <v>0.02</v>
      </c>
      <c r="J17" s="185"/>
      <c r="L17" s="189"/>
      <c r="M17" s="192">
        <f>N17-0.005</f>
        <v>0</v>
      </c>
      <c r="N17" s="192">
        <f>O17-0.005</f>
        <v>5.0000000000000001E-3</v>
      </c>
      <c r="O17" s="192">
        <f>'DCF Inputs'!E70</f>
        <v>0.01</v>
      </c>
      <c r="P17" s="192">
        <f>O17+0.005</f>
        <v>1.4999999999999999E-2</v>
      </c>
      <c r="Q17" s="192">
        <f>P17+0.005</f>
        <v>0.02</v>
      </c>
    </row>
    <row r="18" spans="2:17" ht="15" customHeight="1" x14ac:dyDescent="0.3">
      <c r="B18" s="403" t="s">
        <v>182</v>
      </c>
      <c r="C18" s="180">
        <f>C19-0.01</f>
        <v>0.11176335908864096</v>
      </c>
      <c r="D18" s="193">
        <f t="dataTable" ref="D18:H22" dt2D="1" dtr="1" r1="F7" r2="F8"/>
        <v>344979139.68045038</v>
      </c>
      <c r="E18" s="194">
        <v>356026517.8038668</v>
      </c>
      <c r="F18" s="194">
        <v>368159490.80370557</v>
      </c>
      <c r="G18" s="194">
        <v>381546344.72645909</v>
      </c>
      <c r="H18" s="195">
        <v>396392043.88501334</v>
      </c>
      <c r="J18" s="184"/>
      <c r="K18" s="403" t="s">
        <v>182</v>
      </c>
      <c r="L18" s="180">
        <f>L19-0.01</f>
        <v>0.11176335908864096</v>
      </c>
      <c r="M18" s="193">
        <f t="shared" ref="M18:Q22" si="0">D28/$F$10</f>
        <v>659.97709937350248</v>
      </c>
      <c r="N18" s="194">
        <f t="shared" si="0"/>
        <v>681.64975890333233</v>
      </c>
      <c r="O18" s="194">
        <f t="shared" si="0"/>
        <v>705.45212992499205</v>
      </c>
      <c r="P18" s="194">
        <f t="shared" si="0"/>
        <v>731.71435468114817</v>
      </c>
      <c r="Q18" s="195">
        <f t="shared" si="0"/>
        <v>760.8385305490533</v>
      </c>
    </row>
    <row r="19" spans="2:17" x14ac:dyDescent="0.3">
      <c r="B19" s="403"/>
      <c r="C19" s="180">
        <f>C20-0.01</f>
        <v>0.12176335908864096</v>
      </c>
      <c r="D19" s="196">
        <v>314658533.850227</v>
      </c>
      <c r="E19" s="197">
        <v>323563693.11520636</v>
      </c>
      <c r="F19" s="197">
        <v>333265639.38959527</v>
      </c>
      <c r="G19" s="197">
        <v>343876319.36786985</v>
      </c>
      <c r="H19" s="198">
        <v>355529681.12014437</v>
      </c>
      <c r="J19" s="184"/>
      <c r="K19" s="403"/>
      <c r="L19" s="180">
        <f>L20-0.01</f>
        <v>0.12176335908864096</v>
      </c>
      <c r="M19" s="196">
        <f t="shared" si="0"/>
        <v>600.49437328632939</v>
      </c>
      <c r="N19" s="197">
        <f t="shared" si="0"/>
        <v>617.96444470533163</v>
      </c>
      <c r="O19" s="197">
        <f t="shared" si="0"/>
        <v>636.99764661374127</v>
      </c>
      <c r="P19" s="197">
        <f t="shared" si="0"/>
        <v>657.81359515647227</v>
      </c>
      <c r="Q19" s="198">
        <f t="shared" si="0"/>
        <v>680.67506860415426</v>
      </c>
    </row>
    <row r="20" spans="2:17" x14ac:dyDescent="0.3">
      <c r="B20" s="403"/>
      <c r="C20" s="180">
        <f>'DCF Inputs'!J39</f>
        <v>0.13176335908864095</v>
      </c>
      <c r="D20" s="196">
        <v>289047308.35207039</v>
      </c>
      <c r="E20" s="197">
        <v>296330402.90856558</v>
      </c>
      <c r="F20" s="199">
        <v>304211632.61926532</v>
      </c>
      <c r="G20" s="197">
        <v>312767836.89152396</v>
      </c>
      <c r="H20" s="198">
        <v>322089605.50812852</v>
      </c>
      <c r="J20" s="184"/>
      <c r="K20" s="403"/>
      <c r="L20" s="180">
        <f>'DCF Inputs'!J39</f>
        <v>0.13176335908864095</v>
      </c>
      <c r="M20" s="196">
        <f t="shared" si="0"/>
        <v>550.25047250169769</v>
      </c>
      <c r="N20" s="197">
        <f t="shared" si="0"/>
        <v>564.53839013094091</v>
      </c>
      <c r="O20" s="199">
        <f t="shared" si="0"/>
        <v>579.99972460217862</v>
      </c>
      <c r="P20" s="197">
        <f t="shared" si="0"/>
        <v>596.78521886052044</v>
      </c>
      <c r="Q20" s="198">
        <f t="shared" si="0"/>
        <v>615.07259122947187</v>
      </c>
    </row>
    <row r="21" spans="2:17" x14ac:dyDescent="0.3">
      <c r="B21" s="403"/>
      <c r="C21" s="180">
        <f>C20+0.01</f>
        <v>0.14176335908864096</v>
      </c>
      <c r="D21" s="196">
        <v>267143903.46198779</v>
      </c>
      <c r="E21" s="197">
        <v>273174534.59528959</v>
      </c>
      <c r="F21" s="197">
        <v>279662852.23377872</v>
      </c>
      <c r="G21" s="197">
        <v>286663014.75277084</v>
      </c>
      <c r="H21" s="198">
        <v>294238076.2045278</v>
      </c>
      <c r="J21" s="184"/>
      <c r="K21" s="403"/>
      <c r="L21" s="180">
        <f>L20+0.01</f>
        <v>0.14176335908864096</v>
      </c>
      <c r="M21" s="196">
        <f t="shared" si="0"/>
        <v>507.28054502899096</v>
      </c>
      <c r="N21" s="197">
        <f t="shared" si="0"/>
        <v>519.11138976354437</v>
      </c>
      <c r="O21" s="197">
        <f t="shared" si="0"/>
        <v>531.84012028488894</v>
      </c>
      <c r="P21" s="197">
        <f t="shared" si="0"/>
        <v>545.5729840678365</v>
      </c>
      <c r="Q21" s="198">
        <f t="shared" si="0"/>
        <v>560.43368005627951</v>
      </c>
    </row>
    <row r="22" spans="2:17" x14ac:dyDescent="0.3">
      <c r="B22" s="403"/>
      <c r="C22" s="180">
        <f>C21+0.01</f>
        <v>0.15176335908864097</v>
      </c>
      <c r="D22" s="200">
        <v>248211008.21197781</v>
      </c>
      <c r="E22" s="201">
        <v>253258250.78934035</v>
      </c>
      <c r="F22" s="201">
        <v>258661526.30848768</v>
      </c>
      <c r="G22" s="201">
        <v>264459883.92821765</v>
      </c>
      <c r="H22" s="202">
        <v>270698299.9723711</v>
      </c>
      <c r="J22" s="184"/>
      <c r="K22" s="403"/>
      <c r="L22" s="180">
        <f>L21+0.01</f>
        <v>0.15176335908864097</v>
      </c>
      <c r="M22" s="200">
        <f t="shared" si="0"/>
        <v>470.13814000913766</v>
      </c>
      <c r="N22" s="201">
        <f t="shared" si="0"/>
        <v>480.03978080767052</v>
      </c>
      <c r="O22" s="201">
        <f t="shared" si="0"/>
        <v>490.63988423167916</v>
      </c>
      <c r="P22" s="201">
        <f t="shared" si="0"/>
        <v>502.01505661382447</v>
      </c>
      <c r="Q22" s="202">
        <f t="shared" si="0"/>
        <v>514.25353215253938</v>
      </c>
    </row>
    <row r="24" spans="2:17" ht="15" thickBot="1" x14ac:dyDescent="0.35">
      <c r="B24" s="148" t="s">
        <v>236</v>
      </c>
      <c r="C24" s="148"/>
      <c r="D24" s="148"/>
      <c r="E24" s="182"/>
      <c r="F24" s="182"/>
      <c r="G24" s="182"/>
      <c r="H24" s="182"/>
      <c r="K24" s="148" t="s">
        <v>241</v>
      </c>
      <c r="L24" s="148"/>
      <c r="M24" s="148"/>
      <c r="N24" s="182"/>
      <c r="O24" s="182"/>
      <c r="P24" s="182"/>
      <c r="Q24" s="182"/>
    </row>
    <row r="25" spans="2:17" x14ac:dyDescent="0.3">
      <c r="G25"/>
      <c r="H25"/>
    </row>
    <row r="26" spans="2:17" x14ac:dyDescent="0.3">
      <c r="B26" s="186"/>
      <c r="C26" s="187"/>
      <c r="D26" s="191" t="s">
        <v>225</v>
      </c>
      <c r="E26" s="190"/>
      <c r="F26" s="188"/>
      <c r="G26" s="190"/>
      <c r="H26" s="188"/>
      <c r="K26" s="186"/>
      <c r="L26" s="187"/>
      <c r="M26" s="191" t="s">
        <v>225</v>
      </c>
      <c r="N26" s="190"/>
      <c r="O26" s="188"/>
      <c r="P26" s="190"/>
      <c r="Q26" s="188"/>
    </row>
    <row r="27" spans="2:17" x14ac:dyDescent="0.3">
      <c r="C27" s="189"/>
      <c r="D27" s="192">
        <f>E27-0.005</f>
        <v>0</v>
      </c>
      <c r="E27" s="192">
        <f>F27-0.005</f>
        <v>5.0000000000000001E-3</v>
      </c>
      <c r="F27" s="192">
        <f>'DCF Inputs'!$E$70</f>
        <v>0.01</v>
      </c>
      <c r="G27" s="192">
        <f>F27+0.005</f>
        <v>1.4999999999999999E-2</v>
      </c>
      <c r="H27" s="192">
        <f>G27+0.005</f>
        <v>0.02</v>
      </c>
      <c r="L27" s="189"/>
      <c r="M27" s="192">
        <f>N27-0.005</f>
        <v>0</v>
      </c>
      <c r="N27" s="192">
        <f>O27-0.005</f>
        <v>5.0000000000000001E-3</v>
      </c>
      <c r="O27" s="192">
        <f>'DCF Inputs'!$E$70</f>
        <v>0.01</v>
      </c>
      <c r="P27" s="192">
        <f>O27+0.005</f>
        <v>1.4999999999999999E-2</v>
      </c>
      <c r="Q27" s="192">
        <f>P27+0.005</f>
        <v>0.02</v>
      </c>
    </row>
    <row r="28" spans="2:17" x14ac:dyDescent="0.3">
      <c r="B28" s="403" t="s">
        <v>182</v>
      </c>
      <c r="C28" s="180">
        <f>C29-0.01</f>
        <v>0.11176335908864096</v>
      </c>
      <c r="D28" s="193">
        <f t="shared" ref="D28:H32" si="1">D18-$F$9</f>
        <v>336415406.68045038</v>
      </c>
      <c r="E28" s="194">
        <f t="shared" si="1"/>
        <v>347462784.8038668</v>
      </c>
      <c r="F28" s="194">
        <f t="shared" si="1"/>
        <v>359595757.80370557</v>
      </c>
      <c r="G28" s="194">
        <f t="shared" si="1"/>
        <v>372982611.72645909</v>
      </c>
      <c r="H28" s="195">
        <f t="shared" si="1"/>
        <v>387828310.88501334</v>
      </c>
      <c r="K28" s="403" t="s">
        <v>182</v>
      </c>
      <c r="L28" s="180">
        <f>L29-0.01</f>
        <v>0.11176335908864096</v>
      </c>
      <c r="M28" s="203">
        <f t="shared" ref="M28:Q32" si="2">M18/$F$11-1</f>
        <v>0.13789208937701769</v>
      </c>
      <c r="N28" s="204">
        <f t="shared" si="2"/>
        <v>0.17525876142997965</v>
      </c>
      <c r="O28" s="204">
        <f t="shared" si="2"/>
        <v>0.21629735158662888</v>
      </c>
      <c r="P28" s="204">
        <f t="shared" si="2"/>
        <v>0.26157707087967563</v>
      </c>
      <c r="Q28" s="205">
        <f t="shared" si="2"/>
        <v>0.31179119097743846</v>
      </c>
    </row>
    <row r="29" spans="2:17" x14ac:dyDescent="0.3">
      <c r="B29" s="403"/>
      <c r="C29" s="180">
        <f>C30-0.01</f>
        <v>0.12176335908864096</v>
      </c>
      <c r="D29" s="196">
        <f t="shared" si="1"/>
        <v>306094800.850227</v>
      </c>
      <c r="E29" s="197">
        <f t="shared" si="1"/>
        <v>314999960.11520636</v>
      </c>
      <c r="F29" s="197">
        <f t="shared" si="1"/>
        <v>324701906.38959527</v>
      </c>
      <c r="G29" s="197">
        <f t="shared" si="1"/>
        <v>335312586.36786985</v>
      </c>
      <c r="H29" s="198">
        <f t="shared" si="1"/>
        <v>346965948.12014437</v>
      </c>
      <c r="K29" s="403"/>
      <c r="L29" s="180">
        <f>L30-0.01</f>
        <v>0.12176335908864096</v>
      </c>
      <c r="M29" s="206">
        <f t="shared" si="2"/>
        <v>3.5335616533602954E-2</v>
      </c>
      <c r="N29" s="207">
        <f t="shared" si="2"/>
        <v>6.5456443585639734E-2</v>
      </c>
      <c r="O29" s="207">
        <f t="shared" si="2"/>
        <v>9.8272324481588846E-2</v>
      </c>
      <c r="P29" s="207">
        <f t="shared" si="2"/>
        <v>0.1341619079264349</v>
      </c>
      <c r="Q29" s="208">
        <f t="shared" si="2"/>
        <v>0.17357826011852495</v>
      </c>
    </row>
    <row r="30" spans="2:17" x14ac:dyDescent="0.3">
      <c r="B30" s="403"/>
      <c r="C30" s="180">
        <f>'DCF Inputs'!$J$39</f>
        <v>0.13176335908864095</v>
      </c>
      <c r="D30" s="196">
        <f t="shared" si="1"/>
        <v>280483575.35207039</v>
      </c>
      <c r="E30" s="197">
        <f t="shared" si="1"/>
        <v>287766669.90856558</v>
      </c>
      <c r="F30" s="199">
        <f t="shared" si="1"/>
        <v>295647899.61926532</v>
      </c>
      <c r="G30" s="197">
        <f t="shared" si="1"/>
        <v>304204103.89152396</v>
      </c>
      <c r="H30" s="198">
        <f t="shared" si="1"/>
        <v>313525872.50812852</v>
      </c>
      <c r="K30" s="403"/>
      <c r="L30" s="180">
        <f>'DCF Inputs'!$J$39</f>
        <v>0.13176335908864095</v>
      </c>
      <c r="M30" s="206">
        <f t="shared" si="2"/>
        <v>-5.1291839625933533E-2</v>
      </c>
      <c r="N30" s="207">
        <f t="shared" si="2"/>
        <v>-2.6657487222767395E-2</v>
      </c>
      <c r="O30" s="209">
        <f t="shared" si="2"/>
        <v>-1.3755547811911129E-9</v>
      </c>
      <c r="P30" s="207">
        <f t="shared" si="2"/>
        <v>2.8940519668253728E-2</v>
      </c>
      <c r="Q30" s="208">
        <f t="shared" si="2"/>
        <v>6.047048695632351E-2</v>
      </c>
    </row>
    <row r="31" spans="2:17" x14ac:dyDescent="0.3">
      <c r="B31" s="403"/>
      <c r="C31" s="180">
        <f>C30+0.01</f>
        <v>0.14176335908864096</v>
      </c>
      <c r="D31" s="196">
        <f t="shared" si="1"/>
        <v>258580170.46198779</v>
      </c>
      <c r="E31" s="197">
        <f t="shared" si="1"/>
        <v>264610801.59528959</v>
      </c>
      <c r="F31" s="197">
        <f t="shared" si="1"/>
        <v>271099119.23377872</v>
      </c>
      <c r="G31" s="197">
        <f t="shared" si="1"/>
        <v>278099281.75277084</v>
      </c>
      <c r="H31" s="198">
        <f t="shared" si="1"/>
        <v>285674343.2045278</v>
      </c>
      <c r="K31" s="403"/>
      <c r="L31" s="180">
        <f>L30+0.01</f>
        <v>0.14176335908864096</v>
      </c>
      <c r="M31" s="206">
        <f t="shared" si="2"/>
        <v>-0.12537795655137229</v>
      </c>
      <c r="N31" s="207">
        <f t="shared" si="2"/>
        <v>-0.1049799387309428</v>
      </c>
      <c r="O31" s="207">
        <f t="shared" si="2"/>
        <v>-8.303384123483426E-2</v>
      </c>
      <c r="P31" s="207">
        <f t="shared" si="2"/>
        <v>-5.9356478674918112E-2</v>
      </c>
      <c r="Q31" s="208">
        <f t="shared" si="2"/>
        <v>-3.373457690902637E-2</v>
      </c>
    </row>
    <row r="32" spans="2:17" x14ac:dyDescent="0.3">
      <c r="B32" s="403"/>
      <c r="C32" s="180">
        <f>C31+0.01</f>
        <v>0.15176335908864097</v>
      </c>
      <c r="D32" s="200">
        <f t="shared" si="1"/>
        <v>239647275.21197781</v>
      </c>
      <c r="E32" s="201">
        <f t="shared" si="1"/>
        <v>244694517.78934035</v>
      </c>
      <c r="F32" s="201">
        <f t="shared" si="1"/>
        <v>250097793.30848768</v>
      </c>
      <c r="G32" s="201">
        <f t="shared" si="1"/>
        <v>255896150.92821765</v>
      </c>
      <c r="H32" s="202">
        <f t="shared" si="1"/>
        <v>262134566.9723711</v>
      </c>
      <c r="K32" s="403"/>
      <c r="L32" s="180">
        <f>L31+0.01</f>
        <v>0.15176335908864097</v>
      </c>
      <c r="M32" s="210">
        <f t="shared" si="2"/>
        <v>-0.18941661621493988</v>
      </c>
      <c r="N32" s="211">
        <f t="shared" si="2"/>
        <v>-0.17234481365209531</v>
      </c>
      <c r="O32" s="211">
        <f t="shared" si="2"/>
        <v>-0.15406876461310959</v>
      </c>
      <c r="P32" s="211">
        <f t="shared" si="2"/>
        <v>-0.13445638915155167</v>
      </c>
      <c r="Q32" s="212">
        <f t="shared" si="2"/>
        <v>-0.11335555926706409</v>
      </c>
    </row>
    <row r="35" spans="2:18" ht="14.4" customHeight="1" x14ac:dyDescent="0.3">
      <c r="B35" s="296" t="s">
        <v>235</v>
      </c>
      <c r="C35" s="296"/>
      <c r="D35" s="296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</row>
    <row r="36" spans="2:18" ht="15" customHeight="1" x14ac:dyDescent="0.3"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</row>
    <row r="38" spans="2:18" ht="15" thickBot="1" x14ac:dyDescent="0.35">
      <c r="B38" s="182" t="s">
        <v>86</v>
      </c>
      <c r="C38" s="182"/>
      <c r="D38" s="182"/>
      <c r="E38" s="182"/>
      <c r="F38" s="182"/>
    </row>
    <row r="39" spans="2:18" x14ac:dyDescent="0.3">
      <c r="B39" s="407"/>
      <c r="C39" s="407"/>
    </row>
    <row r="40" spans="2:18" ht="15" x14ac:dyDescent="0.3">
      <c r="B40" s="404" t="s">
        <v>240</v>
      </c>
      <c r="C40" s="404"/>
      <c r="D40" s="404"/>
      <c r="F40" s="216">
        <f>'DCF Inputs'!E71</f>
        <v>9.5</v>
      </c>
    </row>
    <row r="41" spans="2:18" x14ac:dyDescent="0.3">
      <c r="B41" s="404" t="s">
        <v>182</v>
      </c>
      <c r="C41" s="404"/>
      <c r="D41" s="404"/>
      <c r="F41" s="184">
        <f>'DCF Inputs'!J39</f>
        <v>0.13176335908864095</v>
      </c>
    </row>
    <row r="42" spans="2:18" x14ac:dyDescent="0.3">
      <c r="B42" s="404" t="s">
        <v>238</v>
      </c>
      <c r="C42" s="404"/>
      <c r="D42" s="404"/>
      <c r="F42" s="185">
        <f>'DCF Inputs'!E60</f>
        <v>8563733</v>
      </c>
    </row>
    <row r="43" spans="2:18" x14ac:dyDescent="0.3">
      <c r="B43" s="404" t="s">
        <v>214</v>
      </c>
      <c r="C43" s="404"/>
      <c r="D43" s="404"/>
      <c r="E43" s="152" t="s">
        <v>217</v>
      </c>
      <c r="F43" s="185">
        <f>'DCF Inputs'!E68</f>
        <v>509738</v>
      </c>
    </row>
    <row r="44" spans="2:18" x14ac:dyDescent="0.3">
      <c r="B44" s="405" t="s">
        <v>239</v>
      </c>
      <c r="C44" s="405"/>
      <c r="D44" s="405"/>
      <c r="E44" s="152" t="s">
        <v>230</v>
      </c>
      <c r="F44" s="181">
        <f>'DCF Inputs'!E69</f>
        <v>579.99972539999999</v>
      </c>
    </row>
    <row r="47" spans="2:18" ht="15" thickBot="1" x14ac:dyDescent="0.35">
      <c r="B47" s="406" t="s">
        <v>237</v>
      </c>
      <c r="C47" s="406"/>
      <c r="D47" s="182"/>
      <c r="E47" s="182"/>
      <c r="F47" s="182"/>
      <c r="G47" s="182"/>
      <c r="H47" s="182"/>
      <c r="I47"/>
      <c r="K47" s="148" t="s">
        <v>203</v>
      </c>
      <c r="L47" s="148"/>
      <c r="M47" s="148"/>
      <c r="N47" s="182"/>
      <c r="O47" s="182"/>
      <c r="P47" s="182"/>
      <c r="Q47" s="182"/>
    </row>
    <row r="49" spans="2:17" x14ac:dyDescent="0.3">
      <c r="B49" s="186"/>
      <c r="C49" s="187"/>
      <c r="E49" s="179"/>
      <c r="F49" s="9" t="s">
        <v>240</v>
      </c>
      <c r="G49" s="7"/>
      <c r="K49" s="186"/>
      <c r="L49" s="187"/>
      <c r="M49" s="191"/>
      <c r="N49" s="190"/>
      <c r="O49" s="9" t="s">
        <v>240</v>
      </c>
      <c r="P49" s="190"/>
      <c r="Q49" s="188"/>
    </row>
    <row r="50" spans="2:17" x14ac:dyDescent="0.3">
      <c r="C50" s="189">
        <f>'DCF Model'!N84</f>
        <v>304680550.25809681</v>
      </c>
      <c r="D50" s="217">
        <f>E50-0.5</f>
        <v>8.5</v>
      </c>
      <c r="E50" s="217">
        <f>F50-0.5</f>
        <v>9</v>
      </c>
      <c r="F50" s="217">
        <f>'DCF Inputs'!E71</f>
        <v>9.5</v>
      </c>
      <c r="G50" s="217">
        <f>+F50+0.5</f>
        <v>10</v>
      </c>
      <c r="H50" s="217">
        <f>+G50+0.5</f>
        <v>10.5</v>
      </c>
      <c r="J50" s="185"/>
      <c r="L50" s="189"/>
      <c r="M50" s="217">
        <f>N50-0.005</f>
        <v>9.4899999999999984</v>
      </c>
      <c r="N50" s="217">
        <f>O50-0.005</f>
        <v>9.4949999999999992</v>
      </c>
      <c r="O50" s="217">
        <f>'DCF Inputs'!E71</f>
        <v>9.5</v>
      </c>
      <c r="P50" s="217">
        <f>O50+0.005</f>
        <v>9.5050000000000008</v>
      </c>
      <c r="Q50" s="217">
        <f>P50+0.005</f>
        <v>9.5100000000000016</v>
      </c>
    </row>
    <row r="51" spans="2:17" x14ac:dyDescent="0.3">
      <c r="B51" s="403" t="s">
        <v>182</v>
      </c>
      <c r="C51" s="180">
        <f>C52-0.01</f>
        <v>0.11176335908864096</v>
      </c>
      <c r="D51" s="193">
        <f t="dataTable" ref="D51:H55" dt2D="1" dtr="1" r1="F40" r2="F41"/>
        <v>309973404.30153358</v>
      </c>
      <c r="E51" s="194">
        <v>320359682.96205842</v>
      </c>
      <c r="F51" s="194">
        <v>330745961.62258327</v>
      </c>
      <c r="G51" s="194">
        <v>341132240.28310812</v>
      </c>
      <c r="H51" s="195">
        <v>351518518.94363296</v>
      </c>
      <c r="J51" s="184"/>
      <c r="K51" s="403" t="s">
        <v>182</v>
      </c>
      <c r="L51" s="180">
        <f>L52-0.01</f>
        <v>0.11176335908864096</v>
      </c>
      <c r="M51" s="193">
        <f>D61/$F$43</f>
        <v>591.30312297991043</v>
      </c>
      <c r="N51" s="194">
        <f t="shared" ref="N51:Q51" si="3">E61/$F$43</f>
        <v>611.67884278209283</v>
      </c>
      <c r="O51" s="194">
        <f t="shared" si="3"/>
        <v>632.05456258427523</v>
      </c>
      <c r="P51" s="194">
        <f t="shared" si="3"/>
        <v>652.43028238645763</v>
      </c>
      <c r="Q51" s="195">
        <f t="shared" si="3"/>
        <v>672.80600218863992</v>
      </c>
    </row>
    <row r="52" spans="2:17" x14ac:dyDescent="0.3">
      <c r="B52" s="403"/>
      <c r="C52" s="180">
        <f>C53-0.01</f>
        <v>0.12176335908864096</v>
      </c>
      <c r="D52" s="196">
        <v>297617627.98055685</v>
      </c>
      <c r="E52" s="197">
        <v>307482062.54235423</v>
      </c>
      <c r="F52" s="197">
        <v>317346497.10415161</v>
      </c>
      <c r="G52" s="197">
        <v>327210931.66594899</v>
      </c>
      <c r="H52" s="198">
        <v>337075366.22774637</v>
      </c>
      <c r="J52" s="184"/>
      <c r="K52" s="403"/>
      <c r="L52" s="180">
        <f>L53-0.01</f>
        <v>0.12176335908864096</v>
      </c>
      <c r="M52" s="196">
        <f t="shared" ref="M52:Q52" si="4">D62/$F$43</f>
        <v>567.06365815488903</v>
      </c>
      <c r="N52" s="197">
        <f t="shared" si="4"/>
        <v>586.41562830778605</v>
      </c>
      <c r="O52" s="197">
        <f t="shared" si="4"/>
        <v>605.76759846068296</v>
      </c>
      <c r="P52" s="197">
        <f t="shared" si="4"/>
        <v>625.11956861357987</v>
      </c>
      <c r="Q52" s="198">
        <f t="shared" si="4"/>
        <v>644.47153876647678</v>
      </c>
    </row>
    <row r="53" spans="2:17" x14ac:dyDescent="0.3">
      <c r="B53" s="403"/>
      <c r="C53" s="180">
        <f>'DCF Inputs'!J39</f>
        <v>0.13176335908864095</v>
      </c>
      <c r="D53" s="196">
        <v>285934356.0823186</v>
      </c>
      <c r="E53" s="197">
        <v>295307453.17020774</v>
      </c>
      <c r="F53" s="199">
        <v>304680550.25809681</v>
      </c>
      <c r="G53" s="197">
        <v>314053647.34598601</v>
      </c>
      <c r="H53" s="198">
        <v>323426744.43387508</v>
      </c>
      <c r="J53" s="184"/>
      <c r="K53" s="403"/>
      <c r="L53" s="180">
        <f>'DCF Inputs'!J39</f>
        <v>0.13176335908864095</v>
      </c>
      <c r="M53" s="196">
        <f t="shared" ref="M53:Q53" si="5">D63/$F$43</f>
        <v>544.14350721805829</v>
      </c>
      <c r="N53" s="197">
        <f t="shared" si="5"/>
        <v>562.53157537834682</v>
      </c>
      <c r="O53" s="199">
        <f t="shared" si="5"/>
        <v>580.91964353863511</v>
      </c>
      <c r="P53" s="197">
        <f t="shared" si="5"/>
        <v>599.30771169892375</v>
      </c>
      <c r="Q53" s="198">
        <f t="shared" si="5"/>
        <v>617.69577985921217</v>
      </c>
    </row>
    <row r="54" spans="2:17" x14ac:dyDescent="0.3">
      <c r="B54" s="403"/>
      <c r="C54" s="180">
        <f>C53+0.01</f>
        <v>0.14176335908864096</v>
      </c>
      <c r="D54" s="196">
        <v>274880524.56295764</v>
      </c>
      <c r="E54" s="197">
        <v>283790761.08836508</v>
      </c>
      <c r="F54" s="197">
        <v>292700997.61377251</v>
      </c>
      <c r="G54" s="197">
        <v>301611234.13917994</v>
      </c>
      <c r="H54" s="198">
        <v>310521470.66458738</v>
      </c>
      <c r="J54" s="184"/>
      <c r="K54" s="403"/>
      <c r="L54" s="180">
        <f>L53+0.01</f>
        <v>0.14176335908864096</v>
      </c>
      <c r="M54" s="196">
        <f t="shared" ref="M54:Q54" si="6">D64/$F$43</f>
        <v>522.45818746681164</v>
      </c>
      <c r="N54" s="197">
        <f t="shared" si="6"/>
        <v>539.93821941539591</v>
      </c>
      <c r="O54" s="197">
        <f t="shared" si="6"/>
        <v>557.41825136398018</v>
      </c>
      <c r="P54" s="197">
        <f t="shared" si="6"/>
        <v>574.89828331256433</v>
      </c>
      <c r="Q54" s="198">
        <f t="shared" si="6"/>
        <v>592.3783152611486</v>
      </c>
    </row>
    <row r="55" spans="2:17" x14ac:dyDescent="0.3">
      <c r="B55" s="403"/>
      <c r="C55" s="180">
        <f>C54+0.01</f>
        <v>0.15176335908864097</v>
      </c>
      <c r="D55" s="200">
        <v>264416198.96626377</v>
      </c>
      <c r="E55" s="201">
        <v>272890173.2799986</v>
      </c>
      <c r="F55" s="201">
        <v>281364147.59373337</v>
      </c>
      <c r="G55" s="201">
        <v>289838121.9074682</v>
      </c>
      <c r="H55" s="202">
        <v>298312096.22120303</v>
      </c>
      <c r="J55" s="184"/>
      <c r="K55" s="403"/>
      <c r="L55" s="180">
        <f>L54+0.01</f>
        <v>0.15176335908864097</v>
      </c>
      <c r="M55" s="200">
        <f t="shared" ref="M55:Q55" si="7">D65/$F$43</f>
        <v>501.92935579898648</v>
      </c>
      <c r="N55" s="201">
        <f t="shared" si="7"/>
        <v>518.55353197132365</v>
      </c>
      <c r="O55" s="201">
        <f t="shared" si="7"/>
        <v>535.17770814366077</v>
      </c>
      <c r="P55" s="201">
        <f t="shared" si="7"/>
        <v>551.801884315998</v>
      </c>
      <c r="Q55" s="202">
        <f t="shared" si="7"/>
        <v>568.42606048833522</v>
      </c>
    </row>
    <row r="57" spans="2:17" ht="15" thickBot="1" x14ac:dyDescent="0.35">
      <c r="B57" s="148" t="s">
        <v>236</v>
      </c>
      <c r="C57" s="148"/>
      <c r="D57" s="148"/>
      <c r="E57" s="182"/>
      <c r="F57" s="182"/>
      <c r="G57" s="182"/>
      <c r="H57" s="182"/>
      <c r="K57" s="148" t="s">
        <v>241</v>
      </c>
      <c r="L57" s="148"/>
      <c r="M57" s="148"/>
      <c r="N57" s="182"/>
      <c r="O57" s="182"/>
      <c r="P57" s="182"/>
      <c r="Q57" s="182"/>
    </row>
    <row r="58" spans="2:17" x14ac:dyDescent="0.3">
      <c r="G58"/>
      <c r="H58"/>
    </row>
    <row r="59" spans="2:17" x14ac:dyDescent="0.3">
      <c r="B59" s="186"/>
      <c r="C59" s="187"/>
      <c r="D59" s="191"/>
      <c r="E59" s="190"/>
      <c r="F59" s="9" t="s">
        <v>240</v>
      </c>
      <c r="G59" s="190"/>
      <c r="H59" s="188"/>
      <c r="K59" s="186"/>
      <c r="L59" s="187"/>
      <c r="M59" s="191"/>
      <c r="N59" s="190"/>
      <c r="O59" s="9" t="s">
        <v>240</v>
      </c>
      <c r="P59" s="190"/>
      <c r="Q59" s="188"/>
    </row>
    <row r="60" spans="2:17" x14ac:dyDescent="0.3">
      <c r="C60" s="189"/>
      <c r="D60" s="217">
        <f>E60-0.005</f>
        <v>9.4899999999999984</v>
      </c>
      <c r="E60" s="217">
        <f>F60-0.005</f>
        <v>9.4949999999999992</v>
      </c>
      <c r="F60" s="217">
        <f>'DCF Inputs'!E71</f>
        <v>9.5</v>
      </c>
      <c r="G60" s="217">
        <f>F60+0.005</f>
        <v>9.5050000000000008</v>
      </c>
      <c r="H60" s="217">
        <f>G60+0.005</f>
        <v>9.5100000000000016</v>
      </c>
      <c r="L60" s="189"/>
      <c r="M60" s="217">
        <f>N60-0.005</f>
        <v>9.4899999999999984</v>
      </c>
      <c r="N60" s="217">
        <f>O60-0.005</f>
        <v>9.4949999999999992</v>
      </c>
      <c r="O60" s="217">
        <f>'DCF Inputs'!E71</f>
        <v>9.5</v>
      </c>
      <c r="P60" s="217">
        <f>O60+0.005</f>
        <v>9.5050000000000008</v>
      </c>
      <c r="Q60" s="217">
        <f>P60+0.005</f>
        <v>9.5100000000000016</v>
      </c>
    </row>
    <row r="61" spans="2:17" x14ac:dyDescent="0.3">
      <c r="B61" s="403" t="s">
        <v>182</v>
      </c>
      <c r="C61" s="180">
        <f>C62-0.01</f>
        <v>0.11176335908864096</v>
      </c>
      <c r="D61" s="193">
        <f>D51-$F$42</f>
        <v>301409671.30153358</v>
      </c>
      <c r="E61" s="194">
        <f t="shared" ref="E61:H61" si="8">E51-$F$42</f>
        <v>311795949.96205842</v>
      </c>
      <c r="F61" s="194">
        <f t="shared" si="8"/>
        <v>322182228.62258327</v>
      </c>
      <c r="G61" s="194">
        <f t="shared" si="8"/>
        <v>332568507.28310812</v>
      </c>
      <c r="H61" s="195">
        <f t="shared" si="8"/>
        <v>342954785.94363296</v>
      </c>
      <c r="K61" s="403" t="s">
        <v>182</v>
      </c>
      <c r="L61" s="180">
        <f>L62-0.01</f>
        <v>0.11176335908864096</v>
      </c>
      <c r="M61" s="203">
        <f>M51/$F$44-1</f>
        <v>1.9488625743943278E-2</v>
      </c>
      <c r="N61" s="204">
        <f t="shared" ref="N61:Q61" si="9">N51/$F$44-1</f>
        <v>5.4619193759523288E-2</v>
      </c>
      <c r="O61" s="204">
        <f t="shared" si="9"/>
        <v>8.9749761775103076E-2</v>
      </c>
      <c r="P61" s="204">
        <f t="shared" si="9"/>
        <v>0.12488032979068309</v>
      </c>
      <c r="Q61" s="205">
        <f t="shared" si="9"/>
        <v>0.16001089780626288</v>
      </c>
    </row>
    <row r="62" spans="2:17" x14ac:dyDescent="0.3">
      <c r="B62" s="403"/>
      <c r="C62" s="180">
        <f>C63-0.01</f>
        <v>0.12176335908864096</v>
      </c>
      <c r="D62" s="196">
        <f t="shared" ref="D62:H62" si="10">D52-$F$42</f>
        <v>289053894.98055685</v>
      </c>
      <c r="E62" s="197">
        <f t="shared" si="10"/>
        <v>298918329.54235423</v>
      </c>
      <c r="F62" s="197">
        <f t="shared" si="10"/>
        <v>308782764.10415161</v>
      </c>
      <c r="G62" s="197">
        <f t="shared" si="10"/>
        <v>318647198.66594899</v>
      </c>
      <c r="H62" s="198">
        <f t="shared" si="10"/>
        <v>328511633.22774637</v>
      </c>
      <c r="K62" s="403"/>
      <c r="L62" s="180">
        <f>L63-0.01</f>
        <v>0.12176335908864096</v>
      </c>
      <c r="M62" s="206">
        <f t="shared" ref="M62:Q62" si="11">M52/$F$44-1</f>
        <v>-2.2303574775297541E-2</v>
      </c>
      <c r="N62" s="207">
        <f t="shared" si="11"/>
        <v>1.1061906802389165E-2</v>
      </c>
      <c r="O62" s="207">
        <f t="shared" si="11"/>
        <v>4.442738838007565E-2</v>
      </c>
      <c r="P62" s="207">
        <f t="shared" si="11"/>
        <v>7.7792869957762134E-2</v>
      </c>
      <c r="Q62" s="208">
        <f t="shared" si="11"/>
        <v>0.1111583515354484</v>
      </c>
    </row>
    <row r="63" spans="2:17" x14ac:dyDescent="0.3">
      <c r="B63" s="403"/>
      <c r="C63" s="180">
        <f>'DCF Inputs'!$J$39</f>
        <v>0.13176335908864095</v>
      </c>
      <c r="D63" s="196">
        <f t="shared" ref="D63:H63" si="12">D53-$F$42</f>
        <v>277370623.0823186</v>
      </c>
      <c r="E63" s="197">
        <f t="shared" si="12"/>
        <v>286743720.17020774</v>
      </c>
      <c r="F63" s="199">
        <f t="shared" si="12"/>
        <v>296116817.25809681</v>
      </c>
      <c r="G63" s="197">
        <f t="shared" si="12"/>
        <v>305489914.34598601</v>
      </c>
      <c r="H63" s="198">
        <f t="shared" si="12"/>
        <v>314863011.43387508</v>
      </c>
      <c r="K63" s="403"/>
      <c r="L63" s="180">
        <f>'DCF Inputs'!$J$39</f>
        <v>0.13176335908864095</v>
      </c>
      <c r="M63" s="206">
        <f t="shared" ref="M63:Q63" si="13">M53/$F$44-1</f>
        <v>-6.182109510002487E-2</v>
      </c>
      <c r="N63" s="207">
        <f t="shared" si="13"/>
        <v>-3.0117514296418291E-2</v>
      </c>
      <c r="O63" s="209">
        <f t="shared" si="13"/>
        <v>1.5860665071878444E-3</v>
      </c>
      <c r="P63" s="207">
        <f t="shared" si="13"/>
        <v>3.3289647310794646E-2</v>
      </c>
      <c r="Q63" s="208">
        <f t="shared" si="13"/>
        <v>6.4993228114401003E-2</v>
      </c>
    </row>
    <row r="64" spans="2:17" x14ac:dyDescent="0.3">
      <c r="B64" s="403"/>
      <c r="C64" s="180">
        <f>C63+0.01</f>
        <v>0.14176335908864096</v>
      </c>
      <c r="D64" s="196">
        <f t="shared" ref="D64:H64" si="14">D54-$F$42</f>
        <v>266316791.56295764</v>
      </c>
      <c r="E64" s="197">
        <f t="shared" si="14"/>
        <v>275227028.08836508</v>
      </c>
      <c r="F64" s="197">
        <f t="shared" si="14"/>
        <v>284137264.61377251</v>
      </c>
      <c r="G64" s="197">
        <f t="shared" si="14"/>
        <v>293047501.13917994</v>
      </c>
      <c r="H64" s="198">
        <f t="shared" si="14"/>
        <v>301957737.66458738</v>
      </c>
      <c r="K64" s="403"/>
      <c r="L64" s="180">
        <f>L63+0.01</f>
        <v>0.14176335908864096</v>
      </c>
      <c r="M64" s="206">
        <f t="shared" ref="M64:Q64" si="15">M54/$F$44-1</f>
        <v>-9.9209595131281358E-2</v>
      </c>
      <c r="N64" s="207">
        <f t="shared" si="15"/>
        <v>-6.9071594744248288E-2</v>
      </c>
      <c r="O64" s="207">
        <f t="shared" si="15"/>
        <v>-3.8933594357215218E-2</v>
      </c>
      <c r="P64" s="207">
        <f t="shared" si="15"/>
        <v>-8.7955939701823693E-3</v>
      </c>
      <c r="Q64" s="208">
        <f t="shared" si="15"/>
        <v>2.1342406416850812E-2</v>
      </c>
    </row>
    <row r="65" spans="2:17" x14ac:dyDescent="0.3">
      <c r="B65" s="403"/>
      <c r="C65" s="180">
        <f>C64+0.01</f>
        <v>0.15176335908864097</v>
      </c>
      <c r="D65" s="200">
        <f t="shared" ref="D65:H65" si="16">D55-$F$42</f>
        <v>255852465.96626377</v>
      </c>
      <c r="E65" s="201">
        <f t="shared" si="16"/>
        <v>264326440.2799986</v>
      </c>
      <c r="F65" s="201">
        <f t="shared" si="16"/>
        <v>272800414.59373337</v>
      </c>
      <c r="G65" s="201">
        <f t="shared" si="16"/>
        <v>281274388.9074682</v>
      </c>
      <c r="H65" s="202">
        <f t="shared" si="16"/>
        <v>289748363.22120303</v>
      </c>
      <c r="K65" s="403"/>
      <c r="L65" s="180">
        <f>L64+0.01</f>
        <v>0.15176335908864097</v>
      </c>
      <c r="M65" s="210">
        <f t="shared" ref="M65:Q65" si="17">M55/$F$44-1</f>
        <v>-0.13460414924709119</v>
      </c>
      <c r="N65" s="211">
        <f t="shared" si="17"/>
        <v>-0.10594176296600766</v>
      </c>
      <c r="O65" s="211">
        <f t="shared" si="17"/>
        <v>-7.7279376684924239E-2</v>
      </c>
      <c r="P65" s="211">
        <f t="shared" si="17"/>
        <v>-4.8616990403840599E-2</v>
      </c>
      <c r="Q65" s="212">
        <f t="shared" si="17"/>
        <v>-1.9954604122756958E-2</v>
      </c>
    </row>
  </sheetData>
  <mergeCells count="25">
    <mergeCell ref="B2:R3"/>
    <mergeCell ref="B35:R36"/>
    <mergeCell ref="B39:C39"/>
    <mergeCell ref="B40:D40"/>
    <mergeCell ref="B6:C6"/>
    <mergeCell ref="B7:D7"/>
    <mergeCell ref="B8:D8"/>
    <mergeCell ref="B9:D9"/>
    <mergeCell ref="B10:D10"/>
    <mergeCell ref="B41:D41"/>
    <mergeCell ref="K18:K22"/>
    <mergeCell ref="B28:B32"/>
    <mergeCell ref="K28:K32"/>
    <mergeCell ref="B11:D11"/>
    <mergeCell ref="B18:B22"/>
    <mergeCell ref="B12:C12"/>
    <mergeCell ref="B14:C14"/>
    <mergeCell ref="K51:K55"/>
    <mergeCell ref="B61:B65"/>
    <mergeCell ref="K61:K65"/>
    <mergeCell ref="B42:D42"/>
    <mergeCell ref="B43:D43"/>
    <mergeCell ref="B44:D44"/>
    <mergeCell ref="B47:C47"/>
    <mergeCell ref="B51:B5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CAF77-C420-4F65-9D03-CC09BC25F740}">
  <dimension ref="B2:Q19"/>
  <sheetViews>
    <sheetView showGridLines="0" workbookViewId="0">
      <selection activeCell="C19" sqref="C19"/>
    </sheetView>
  </sheetViews>
  <sheetFormatPr defaultRowHeight="14.4" x14ac:dyDescent="0.3"/>
  <cols>
    <col min="1" max="1" width="3.109375" customWidth="1"/>
    <col min="2" max="2" width="27" customWidth="1"/>
    <col min="3" max="8" width="12.77734375" customWidth="1"/>
    <col min="9" max="17" width="10.77734375" customWidth="1"/>
    <col min="18" max="18" width="7.6640625" customWidth="1"/>
    <col min="19" max="19" width="9.77734375" customWidth="1"/>
    <col min="20" max="20" width="14.6640625" customWidth="1"/>
    <col min="21" max="21" width="9.77734375" customWidth="1"/>
  </cols>
  <sheetData>
    <row r="2" spans="2:17" x14ac:dyDescent="0.3">
      <c r="B2" s="296" t="s">
        <v>271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</row>
    <row r="3" spans="2:17" x14ac:dyDescent="0.3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</row>
    <row r="5" spans="2:17" x14ac:dyDescent="0.3">
      <c r="B5" s="411" t="s">
        <v>265</v>
      </c>
      <c r="C5" s="413" t="s">
        <v>201</v>
      </c>
      <c r="D5" s="415" t="s">
        <v>236</v>
      </c>
      <c r="E5" s="417" t="s">
        <v>187</v>
      </c>
      <c r="F5" s="418"/>
      <c r="G5" s="417" t="s">
        <v>263</v>
      </c>
      <c r="H5" s="418"/>
      <c r="I5" s="417" t="s">
        <v>264</v>
      </c>
      <c r="J5" s="418"/>
      <c r="K5" s="417" t="s">
        <v>278</v>
      </c>
      <c r="L5" s="418"/>
    </row>
    <row r="6" spans="2:17" x14ac:dyDescent="0.3">
      <c r="B6" s="412"/>
      <c r="C6" s="414"/>
      <c r="D6" s="416"/>
      <c r="E6" s="249" t="s">
        <v>277</v>
      </c>
      <c r="F6" s="276" t="s">
        <v>266</v>
      </c>
      <c r="G6" s="249" t="s">
        <v>277</v>
      </c>
      <c r="H6" s="276" t="s">
        <v>266</v>
      </c>
      <c r="I6" s="249" t="s">
        <v>277</v>
      </c>
      <c r="J6" s="276" t="s">
        <v>266</v>
      </c>
      <c r="K6" s="249" t="s">
        <v>277</v>
      </c>
      <c r="L6" s="276" t="s">
        <v>266</v>
      </c>
    </row>
    <row r="7" spans="2:17" x14ac:dyDescent="0.3">
      <c r="B7" s="248" t="s">
        <v>272</v>
      </c>
      <c r="C7" s="277">
        <v>309582000</v>
      </c>
      <c r="D7" s="277">
        <v>261582000</v>
      </c>
      <c r="E7" s="277">
        <v>43000000</v>
      </c>
      <c r="F7" s="277">
        <v>47000000</v>
      </c>
      <c r="G7" s="277">
        <v>18500000</v>
      </c>
      <c r="H7" s="277">
        <v>21000000</v>
      </c>
      <c r="I7" s="278">
        <f>C7/E7</f>
        <v>7.1995813953488375</v>
      </c>
      <c r="J7" s="278">
        <f>D7/F7</f>
        <v>5.5655744680851065</v>
      </c>
      <c r="K7" s="278">
        <f>D7/G7</f>
        <v>14.139567567567568</v>
      </c>
      <c r="L7" s="278">
        <f>E7/H7</f>
        <v>2.0476190476190474</v>
      </c>
    </row>
    <row r="8" spans="2:17" x14ac:dyDescent="0.3">
      <c r="B8" s="248" t="s">
        <v>273</v>
      </c>
      <c r="C8" s="277">
        <v>249773000</v>
      </c>
      <c r="D8" s="277">
        <v>209773000</v>
      </c>
      <c r="E8" s="277">
        <v>36000000</v>
      </c>
      <c r="F8" s="277">
        <v>39500000</v>
      </c>
      <c r="G8" s="277">
        <v>15200000</v>
      </c>
      <c r="H8" s="277">
        <v>17000000</v>
      </c>
      <c r="I8" s="278">
        <f t="shared" ref="I8:J10" si="0">C8/E8</f>
        <v>6.9381388888888891</v>
      </c>
      <c r="J8" s="278">
        <f t="shared" si="0"/>
        <v>5.3107088607594939</v>
      </c>
      <c r="K8" s="278">
        <f t="shared" ref="K8:L10" si="1">D8/G8</f>
        <v>13.800855263157894</v>
      </c>
      <c r="L8" s="278">
        <f t="shared" si="1"/>
        <v>2.1176470588235294</v>
      </c>
    </row>
    <row r="9" spans="2:17" x14ac:dyDescent="0.3">
      <c r="B9" s="248" t="s">
        <v>274</v>
      </c>
      <c r="C9" s="277">
        <v>287319000</v>
      </c>
      <c r="D9" s="277">
        <v>242319000</v>
      </c>
      <c r="E9" s="277">
        <v>41500000</v>
      </c>
      <c r="F9" s="277">
        <v>45000000</v>
      </c>
      <c r="G9" s="277">
        <v>17400000</v>
      </c>
      <c r="H9" s="277">
        <v>19200000</v>
      </c>
      <c r="I9" s="278">
        <f t="shared" si="0"/>
        <v>6.9233493975903615</v>
      </c>
      <c r="J9" s="278">
        <f t="shared" si="0"/>
        <v>5.3848666666666665</v>
      </c>
      <c r="K9" s="278">
        <f t="shared" si="1"/>
        <v>13.926379310344828</v>
      </c>
      <c r="L9" s="278">
        <f t="shared" si="1"/>
        <v>2.1614583333333335</v>
      </c>
    </row>
    <row r="10" spans="2:17" x14ac:dyDescent="0.3">
      <c r="B10" s="248" t="s">
        <v>275</v>
      </c>
      <c r="C10" s="277">
        <v>364616000</v>
      </c>
      <c r="D10" s="277">
        <v>314616000</v>
      </c>
      <c r="E10" s="277">
        <v>49000000</v>
      </c>
      <c r="F10" s="277">
        <v>54000000</v>
      </c>
      <c r="G10" s="277">
        <v>22500000</v>
      </c>
      <c r="H10" s="277">
        <v>25000000</v>
      </c>
      <c r="I10" s="278">
        <f t="shared" si="0"/>
        <v>7.4411428571428573</v>
      </c>
      <c r="J10" s="278">
        <f t="shared" si="0"/>
        <v>5.8262222222222224</v>
      </c>
      <c r="K10" s="278">
        <f t="shared" si="1"/>
        <v>13.982933333333333</v>
      </c>
      <c r="L10" s="278">
        <f t="shared" si="1"/>
        <v>1.96</v>
      </c>
      <c r="N10" s="275"/>
    </row>
    <row r="11" spans="2:17" x14ac:dyDescent="0.3">
      <c r="B11" s="248" t="s">
        <v>276</v>
      </c>
      <c r="C11" s="277">
        <v>412618000</v>
      </c>
      <c r="D11" s="277">
        <v>357618000</v>
      </c>
      <c r="E11" s="277">
        <v>55000000</v>
      </c>
      <c r="F11" s="277">
        <v>61000000</v>
      </c>
      <c r="G11" s="277">
        <v>25500000</v>
      </c>
      <c r="H11" s="277">
        <v>28500000</v>
      </c>
      <c r="I11" s="278">
        <f>C11/E11</f>
        <v>7.5021454545454542</v>
      </c>
      <c r="J11" s="278">
        <f>D11/F11</f>
        <v>5.862590163934426</v>
      </c>
      <c r="K11" s="278">
        <f>D11/G11</f>
        <v>14.024235294117647</v>
      </c>
      <c r="L11" s="278">
        <f>E11/H11</f>
        <v>1.9298245614035088</v>
      </c>
      <c r="N11" s="275"/>
    </row>
    <row r="12" spans="2:17" x14ac:dyDescent="0.3">
      <c r="B12" s="272"/>
      <c r="C12" s="273"/>
      <c r="D12" s="273"/>
      <c r="E12" s="273"/>
      <c r="F12" s="273"/>
      <c r="G12" s="273"/>
      <c r="H12" s="273"/>
      <c r="I12" s="274"/>
      <c r="J12" s="274"/>
      <c r="K12" s="274"/>
      <c r="L12" s="274"/>
      <c r="N12" s="275"/>
    </row>
    <row r="13" spans="2:17" x14ac:dyDescent="0.3">
      <c r="B13" s="272"/>
      <c r="C13" s="273"/>
      <c r="D13" s="273"/>
      <c r="E13" s="273"/>
      <c r="F13" s="273"/>
      <c r="G13" s="273"/>
      <c r="H13" s="273"/>
      <c r="I13" s="274"/>
      <c r="J13" s="274"/>
      <c r="K13" s="274"/>
      <c r="L13" s="274"/>
      <c r="N13" s="275"/>
    </row>
    <row r="14" spans="2:17" x14ac:dyDescent="0.3">
      <c r="B14" s="408" t="s">
        <v>279</v>
      </c>
      <c r="C14" s="409"/>
      <c r="D14" s="409"/>
      <c r="E14" s="409"/>
      <c r="F14" s="409"/>
      <c r="G14" s="409"/>
      <c r="H14" s="409"/>
      <c r="I14" s="409"/>
      <c r="J14" s="409"/>
      <c r="K14" s="409"/>
      <c r="L14" s="410"/>
      <c r="N14" s="275"/>
    </row>
    <row r="15" spans="2:17" x14ac:dyDescent="0.3">
      <c r="B15" s="279" t="s">
        <v>267</v>
      </c>
      <c r="C15" s="280">
        <f>AVERAGE(C7:C11)</f>
        <v>324781600</v>
      </c>
      <c r="D15" s="280">
        <f>AVERAGE(D7:D11)</f>
        <v>277181600</v>
      </c>
      <c r="E15" s="280">
        <f>AVERAGE(E7:E11)</f>
        <v>44900000</v>
      </c>
      <c r="F15" s="280">
        <f t="shared" ref="F15:G15" si="2">AVERAGE(F7:F11)</f>
        <v>49300000</v>
      </c>
      <c r="G15" s="280">
        <f t="shared" si="2"/>
        <v>19820000</v>
      </c>
      <c r="H15" s="280">
        <f>AVERAGE(H7:H11)</f>
        <v>22140000</v>
      </c>
      <c r="I15" s="278">
        <f>AVERAGE(I7:I11)</f>
        <v>7.2008715987032801</v>
      </c>
      <c r="J15" s="278">
        <f>AVERAGE(J7:J11)</f>
        <v>5.5899924763335829</v>
      </c>
      <c r="K15" s="278">
        <f>AVERAGE(K7:K11)</f>
        <v>13.974794153704256</v>
      </c>
      <c r="L15" s="278">
        <f>AVERAGE(L7:L11)</f>
        <v>2.0433098002358836</v>
      </c>
    </row>
    <row r="16" spans="2:17" x14ac:dyDescent="0.3">
      <c r="B16" s="279" t="s">
        <v>268</v>
      </c>
      <c r="C16" s="280">
        <f>MEDIAN(C7:C11)</f>
        <v>309582000</v>
      </c>
      <c r="D16" s="280">
        <f>MEDIAN(D7:D11)</f>
        <v>261582000</v>
      </c>
      <c r="E16" s="280">
        <f t="shared" ref="E16:H16" si="3">MEDIAN(E7:E11)</f>
        <v>43000000</v>
      </c>
      <c r="F16" s="280">
        <f t="shared" si="3"/>
        <v>47000000</v>
      </c>
      <c r="G16" s="280">
        <f t="shared" si="3"/>
        <v>18500000</v>
      </c>
      <c r="H16" s="280">
        <f t="shared" si="3"/>
        <v>21000000</v>
      </c>
      <c r="I16" s="278">
        <f>MEDIAN(I7:I11)</f>
        <v>7.1995813953488375</v>
      </c>
      <c r="J16" s="278">
        <f>MEDIAN(J7:J11)</f>
        <v>5.5655744680851065</v>
      </c>
      <c r="K16" s="278">
        <f>MEDIAN(K7:K11)</f>
        <v>13.982933333333333</v>
      </c>
      <c r="L16" s="278">
        <f>MEDIAN(L7:L11)</f>
        <v>2.0476190476190474</v>
      </c>
    </row>
    <row r="17" spans="2:12" x14ac:dyDescent="0.3">
      <c r="B17" s="279" t="s">
        <v>269</v>
      </c>
      <c r="C17" s="280">
        <f>MAX(C7:C11)</f>
        <v>412618000</v>
      </c>
      <c r="D17" s="280">
        <f>MAX(D7:D11)</f>
        <v>357618000</v>
      </c>
      <c r="E17" s="280">
        <f t="shared" ref="E17:H17" si="4">MAX(E7:E11)</f>
        <v>55000000</v>
      </c>
      <c r="F17" s="280">
        <f t="shared" si="4"/>
        <v>61000000</v>
      </c>
      <c r="G17" s="280">
        <f t="shared" si="4"/>
        <v>25500000</v>
      </c>
      <c r="H17" s="280">
        <f t="shared" si="4"/>
        <v>28500000</v>
      </c>
      <c r="I17" s="278">
        <f>MAX(I7:I11)</f>
        <v>7.5021454545454542</v>
      </c>
      <c r="J17" s="278">
        <f>MAX(J7:J11)</f>
        <v>5.862590163934426</v>
      </c>
      <c r="K17" s="278">
        <f>MAX(K7:K11)</f>
        <v>14.139567567567568</v>
      </c>
      <c r="L17" s="278">
        <f>MAX(L7:L11)</f>
        <v>2.1614583333333335</v>
      </c>
    </row>
    <row r="18" spans="2:12" x14ac:dyDescent="0.3">
      <c r="B18" s="279" t="s">
        <v>270</v>
      </c>
      <c r="C18" s="280">
        <f>MIN(C7:C11)</f>
        <v>249773000</v>
      </c>
      <c r="D18" s="280">
        <f>MIN(D7:D11)</f>
        <v>209773000</v>
      </c>
      <c r="E18" s="280">
        <f t="shared" ref="E18:H18" si="5">MIN(E7:E11)</f>
        <v>36000000</v>
      </c>
      <c r="F18" s="280">
        <f t="shared" si="5"/>
        <v>39500000</v>
      </c>
      <c r="G18" s="280">
        <f t="shared" si="5"/>
        <v>15200000</v>
      </c>
      <c r="H18" s="280">
        <f t="shared" si="5"/>
        <v>17000000</v>
      </c>
      <c r="I18" s="278">
        <f>MIN(I7:I11)</f>
        <v>6.9233493975903615</v>
      </c>
      <c r="J18" s="278">
        <f>MIN(J7:J11)</f>
        <v>5.3107088607594939</v>
      </c>
      <c r="K18" s="278">
        <f>MIN(K7:K11)</f>
        <v>13.800855263157894</v>
      </c>
      <c r="L18" s="278">
        <f>MIN(L7:L11)</f>
        <v>1.9298245614035088</v>
      </c>
    </row>
    <row r="19" spans="2:12" x14ac:dyDescent="0.3"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</row>
  </sheetData>
  <mergeCells count="9">
    <mergeCell ref="B14:L14"/>
    <mergeCell ref="B2:Q3"/>
    <mergeCell ref="B5:B6"/>
    <mergeCell ref="C5:C6"/>
    <mergeCell ref="D5:D6"/>
    <mergeCell ref="E5:F5"/>
    <mergeCell ref="G5:H5"/>
    <mergeCell ref="I5:J5"/>
    <mergeCell ref="K5:L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Cover</vt:lpstr>
      <vt:lpstr>Inputs</vt:lpstr>
      <vt:lpstr>Model</vt:lpstr>
      <vt:lpstr>Outputs</vt:lpstr>
      <vt:lpstr>DCF Inputs</vt:lpstr>
      <vt:lpstr>DCF Model</vt:lpstr>
      <vt:lpstr>DCF Outputs</vt:lpstr>
      <vt:lpstr>DCF Comps </vt:lpstr>
      <vt:lpstr>Model!Print_Area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paul de wet</cp:lastModifiedBy>
  <cp:lastPrinted>2026-01-12T12:56:30Z</cp:lastPrinted>
  <dcterms:created xsi:type="dcterms:W3CDTF">2025-02-25T15:14:41Z</dcterms:created>
  <dcterms:modified xsi:type="dcterms:W3CDTF">2026-05-07T09:51:50Z</dcterms:modified>
</cp:coreProperties>
</file>